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heckCompatibility="1"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EHS/"/>
    </mc:Choice>
  </mc:AlternateContent>
  <xr:revisionPtr revIDLastSave="0" documentId="8_{46CAF1E9-C491-43CE-8F70-A14C84B055D9}" xr6:coauthVersionLast="47" xr6:coauthVersionMax="47" xr10:uidLastSave="{00000000-0000-0000-0000-000000000000}"/>
  <bookViews>
    <workbookView xWindow="1520" yWindow="1520" windowWidth="14400" windowHeight="7350" tabRatio="917" activeTab="11" xr2:uid="{00000000-000D-0000-FFFF-FFFF00000000}"/>
  </bookViews>
  <sheets>
    <sheet name="FALL 24 CAF" sheetId="21" r:id="rId1"/>
    <sheet name="M2023 BLS Chart" sheetId="14" r:id="rId2"/>
    <sheet name="Master Lookup" sheetId="16" state="hidden" r:id="rId3"/>
    <sheet name="Rates" sheetId="19" r:id="rId4"/>
    <sheet name="Recovery Coach " sheetId="1" r:id="rId5"/>
    <sheet name="Outpatient Counseling " sheetId="2" r:id="rId6"/>
    <sheet name="Case Managment" sheetId="3" r:id="rId7"/>
    <sheet name="InHome Therapy" sheetId="5" r:id="rId8"/>
    <sheet name="Psycho.Ed" sheetId="6" r:id="rId9"/>
    <sheet name="Day Treatments" sheetId="7" r:id="rId10"/>
    <sheet name="RSC Models" sheetId="12" r:id="rId11"/>
    <sheet name="RSC Staff Add on Rates " sheetId="10" r:id="rId12"/>
    <sheet name="CAF Spring 2024" sheetId="15" state="hidden" r:id="rId13"/>
    <sheet name="UFR FY23 Combined" sheetId="17" state="hidden" r:id="rId14"/>
    <sheet name="UFR FY23 RSC 4930" sheetId="18"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Key1" hidden="1">#REF!</definedName>
    <definedName name="_Sort" hidden="1">#REF!</definedName>
    <definedName name="alldata" localSheetId="0">#REF!</definedName>
    <definedName name="alldata">#N/A</definedName>
    <definedName name="alled" localSheetId="0">#REF!</definedName>
    <definedName name="alled">#N/A</definedName>
    <definedName name="allstem" localSheetId="0">#REF!</definedName>
    <definedName name="allstem">#N/A</definedName>
    <definedName name="Area">[1]Sheet2!$A$2:$A$28</definedName>
    <definedName name="ARENEW">[2]amendA!$B$1:$U$51</definedName>
    <definedName name="asdfasd" localSheetId="0">'[3]Complete UFR List'!#REF!</definedName>
    <definedName name="asdfasd" localSheetId="11">'[3]Complete UFR List'!#REF!</definedName>
    <definedName name="asdfasd">'[3]Complete UFR List'!#REF!</definedName>
    <definedName name="asdfasdf" localSheetId="0">'[3]Complete UFR List'!#REF!</definedName>
    <definedName name="asdfasdf" localSheetId="5">#N/A</definedName>
    <definedName name="asdfasdf" localSheetId="11">#N/A</definedName>
    <definedName name="asdfasdf">#N/A</definedName>
    <definedName name="ATTABOY">[2]amendA!$B$2:$S$2</definedName>
    <definedName name="AutoInsurance">[4]Universal!$C$19</definedName>
    <definedName name="autsupp2" localSheetId="0">#REF!</definedName>
    <definedName name="autsupp2">#N/A</definedName>
    <definedName name="Average" localSheetId="0">#REF!</definedName>
    <definedName name="Average" localSheetId="5">#N/A</definedName>
    <definedName name="Average" localSheetId="11">#N/A</definedName>
    <definedName name="Average">#N/A</definedName>
    <definedName name="BB6_4">#REF!</definedName>
    <definedName name="CAF_NEW" localSheetId="0">[5]RawDataCalcs!$L$70:$DB$70</definedName>
    <definedName name="CAF_NEW" localSheetId="11">[6]RawDataCalcs!$L$70:$DB$70</definedName>
    <definedName name="CAF_NEW">[7]RawDataCalcs!$L$70:$DB$70</definedName>
    <definedName name="Cap" localSheetId="0">'[8]RawDataCalcs3386&amp;3401'!$L$66:$DB$66</definedName>
    <definedName name="Cap" localSheetId="11">[9]RawDataCalcs!$L$70:$DB$70</definedName>
    <definedName name="Cap">[10]RawDataCalcs!$L$70:$DB$70</definedName>
    <definedName name="capa">[11]RawDataCalcs!$L$17:$DB$17</definedName>
    <definedName name="chart">#N/A</definedName>
    <definedName name="COLA">[4]Universal!$C$12</definedName>
    <definedName name="Data" localSheetId="0">#REF!</definedName>
    <definedName name="Data" localSheetId="5">#N/A</definedName>
    <definedName name="Data" localSheetId="11">#N/A</definedName>
    <definedName name="Data">#N/A</definedName>
    <definedName name="Electricity">[4]Universal!$C$21</definedName>
    <definedName name="Fisc" localSheetId="11">'[3]Complete UFR List'!#REF!</definedName>
    <definedName name="Fisc">'[3]Complete UFR List'!#REF!</definedName>
    <definedName name="FiveDay">[4]Universal!$C$17</definedName>
    <definedName name="Floor" localSheetId="0">'[8]RawDataCalcs3386&amp;3401'!$L$65:$DB$65</definedName>
    <definedName name="Floor" localSheetId="11">[9]RawDataCalcs!$L$69:$DB$69</definedName>
    <definedName name="Floor">[10]RawDataCalcs!$L$69:$DB$69</definedName>
    <definedName name="Fringe">[4]Universal!$C$8</definedName>
    <definedName name="FROM">[2]amendA!$G$7</definedName>
    <definedName name="Funds" localSheetId="0">'[12]RawDataCalcs3386&amp;3401'!$L$68:$DB$68</definedName>
    <definedName name="Funds" localSheetId="11">'[13]RawDataCalcs3386&amp;3401'!$L$68:$DB$68</definedName>
    <definedName name="Funds">'[14]RawDataCalcs3386&amp;3401'!$L$68:$DB$68</definedName>
    <definedName name="GA">[4]Universal!$C$13</definedName>
    <definedName name="Gas">[4]Universal!$C$22</definedName>
    <definedName name="gk" localSheetId="0">#REF!</definedName>
    <definedName name="gk" localSheetId="5">#N/A</definedName>
    <definedName name="gk" localSheetId="4">#N/A</definedName>
    <definedName name="gk" localSheetId="11">#N/A</definedName>
    <definedName name="gk">#N/A</definedName>
    <definedName name="hhh" localSheetId="0">#REF!</definedName>
    <definedName name="hhh" localSheetId="5">#N/A</definedName>
    <definedName name="hhh" localSheetId="11">#N/A</definedName>
    <definedName name="hhh">#N/A</definedName>
    <definedName name="Holidays">[4]Universal!$C$49:$C$59</definedName>
    <definedName name="JailDAverage" localSheetId="0">#REF!</definedName>
    <definedName name="JailDAverage" localSheetId="5">#N/A</definedName>
    <definedName name="JailDAverage" localSheetId="11">#N/A</definedName>
    <definedName name="JailDAverage">#N/A</definedName>
    <definedName name="JailDCap" localSheetId="0">[15]ALLRawDataCalcs!$L$80:$DB$80</definedName>
    <definedName name="JailDCap" localSheetId="11">[16]ALLRawDataCalcs!$L$80:$DB$80</definedName>
    <definedName name="JailDCap">[17]ALLRawDataCalcs!$L$80:$DB$80</definedName>
    <definedName name="JailDFloor" localSheetId="0">[15]ALLRawDataCalcs!$L$79:$DB$79</definedName>
    <definedName name="JailDFloor" localSheetId="11">[16]ALLRawDataCalcs!$L$79:$DB$79</definedName>
    <definedName name="JailDFloor">[17]ALLRawDataCalcs!$L$79:$DB$79</definedName>
    <definedName name="JailDgk" localSheetId="0">#REF!</definedName>
    <definedName name="JailDgk" localSheetId="5">#N/A</definedName>
    <definedName name="JailDgk" localSheetId="11">#N/A</definedName>
    <definedName name="JailDgk">#N/A</definedName>
    <definedName name="JailDMax" localSheetId="0">#REF!</definedName>
    <definedName name="JailDMax" localSheetId="5">#N/A</definedName>
    <definedName name="JailDMax" localSheetId="11">#N/A</definedName>
    <definedName name="JailDMax">#N/A</definedName>
    <definedName name="JailDMedian" localSheetId="0">#REF!</definedName>
    <definedName name="JailDMedian" localSheetId="5">#N/A</definedName>
    <definedName name="JailDMedian" localSheetId="11">#N/A</definedName>
    <definedName name="JailDMedian">#N/A</definedName>
    <definedName name="jm" localSheetId="0">'[3]Complete UFR List'!#REF!</definedName>
    <definedName name="jm" localSheetId="11">'[3]Complete UFR List'!#REF!</definedName>
    <definedName name="jm">'[3]Complete UFR List'!#REF!</definedName>
    <definedName name="KARA">#N/A</definedName>
    <definedName name="kls" localSheetId="0">#REF!</definedName>
    <definedName name="kls" localSheetId="5">#N/A</definedName>
    <definedName name="kls" localSheetId="11">#N/A</definedName>
    <definedName name="kls">#N/A</definedName>
    <definedName name="ListProviders">'[18]List of Programs'!$A$24:$A$29</definedName>
    <definedName name="Max" localSheetId="0">#REF!</definedName>
    <definedName name="Max" localSheetId="5">#N/A</definedName>
    <definedName name="Max" localSheetId="11">#N/A</definedName>
    <definedName name="Max">#N/A</definedName>
    <definedName name="Median" localSheetId="0">#REF!</definedName>
    <definedName name="Median" localSheetId="5">#N/A</definedName>
    <definedName name="Median" localSheetId="11">#N/A</definedName>
    <definedName name="Median">#N/A</definedName>
    <definedName name="Min" localSheetId="0">#REF!</definedName>
    <definedName name="Min" localSheetId="5">#N/A</definedName>
    <definedName name="Min" localSheetId="11">#N/A</definedName>
    <definedName name="Min">#N/A</definedName>
    <definedName name="mr" localSheetId="0">#REF!</definedName>
    <definedName name="mr">#N/A</definedName>
    <definedName name="MT" localSheetId="0">#REF!</definedName>
    <definedName name="MT" localSheetId="5">#N/A</definedName>
    <definedName name="MT" localSheetId="11">#N/A</definedName>
    <definedName name="MT">#N/A</definedName>
    <definedName name="new" localSheetId="0">#REF!</definedName>
    <definedName name="new" localSheetId="5">#N/A</definedName>
    <definedName name="new" localSheetId="11">#N/A</definedName>
    <definedName name="new">#N/A</definedName>
    <definedName name="Oil">[4]Universal!$C$23</definedName>
    <definedName name="ok" localSheetId="0">#REF!</definedName>
    <definedName name="ok" localSheetId="5">#N/A</definedName>
    <definedName name="ok" localSheetId="11">#N/A</definedName>
    <definedName name="ok">#N/A</definedName>
    <definedName name="Paydays">[4]Universal!$C$33:$N$33</definedName>
    <definedName name="Phone">[4]Universal!$C$25</definedName>
    <definedName name="_xlnm.Print_Area" localSheetId="7">#N/A</definedName>
    <definedName name="_xlnm.Print_Area" localSheetId="5">#N/A</definedName>
    <definedName name="_xlnm.Print_Area" localSheetId="8">#N/A</definedName>
    <definedName name="_xlnm.Print_Area" localSheetId="11">#N/A</definedName>
    <definedName name="_xlnm.Print_Titles" localSheetId="0">'FALL 24 CAF'!$A:$A</definedName>
    <definedName name="Program_File" localSheetId="0">#REF!</definedName>
    <definedName name="Program_File" localSheetId="5">#N/A</definedName>
    <definedName name="Program_File" localSheetId="4">#N/A</definedName>
    <definedName name="Program_File" localSheetId="11">#N/A</definedName>
    <definedName name="Program_File">#N/A</definedName>
    <definedName name="Programs">'[18]List of Programs'!$B$3:$B$19</definedName>
    <definedName name="PropInsurance">[4]Universal!$C$20</definedName>
    <definedName name="ProvFTE" localSheetId="0">'[19]FTE Data'!$A$3:$AW$56</definedName>
    <definedName name="ProvFTE" localSheetId="4">'[20]FTE Data'!$A$3:$AW$56</definedName>
    <definedName name="ProvFTE" localSheetId="11">'[21]FTE Data'!$A$3:$AW$56</definedName>
    <definedName name="ProvFTE">'[21]FTE Data'!$A$3:$AW$56</definedName>
    <definedName name="PTO_Hours">[4]Universal!$F$72:$F$78</definedName>
    <definedName name="PTO_Years">[4]Universal!$B$72:$B$78</definedName>
    <definedName name="PurchasedBy" localSheetId="0">'[19]FTE Data'!$C$263:$AZ$657</definedName>
    <definedName name="PurchasedBy" localSheetId="4">'[20]FTE Data'!$C$263:$AZ$657</definedName>
    <definedName name="PurchasedBy" localSheetId="11">'[21]FTE Data'!$C$263:$AZ$657</definedName>
    <definedName name="PurchasedBy">'[21]FTE Data'!$C$263:$AZ$657</definedName>
    <definedName name="REGION">[1]Sheet2!$B$1:$B$5</definedName>
    <definedName name="Relief">[4]Universal!$C$14</definedName>
    <definedName name="resmay2007" localSheetId="0">#REF!</definedName>
    <definedName name="resmay2007" localSheetId="5">#N/A</definedName>
    <definedName name="resmay2007" localSheetId="11">#N/A</definedName>
    <definedName name="resmay2007">#N/A</definedName>
    <definedName name="SevenDay">[4]Universal!$C$18</definedName>
    <definedName name="sheet1" localSheetId="0">#REF!</definedName>
    <definedName name="sheet1">#N/A</definedName>
    <definedName name="Site_list" localSheetId="0">[19]Lists!$A$2:$A$53</definedName>
    <definedName name="Site_list" localSheetId="4">[20]Lists!$A$2:$A$53</definedName>
    <definedName name="Site_list" localSheetId="11">[21]Lists!$A$2:$A$53</definedName>
    <definedName name="Site_list">[21]Lists!$A$2:$A$53</definedName>
    <definedName name="Source" localSheetId="0">#REF!</definedName>
    <definedName name="Source" localSheetId="5">#N/A</definedName>
    <definedName name="Source" localSheetId="11">#N/A</definedName>
    <definedName name="Source">#N/A</definedName>
    <definedName name="Source_2" localSheetId="0">#REF!</definedName>
    <definedName name="Source_2" localSheetId="5">#N/A</definedName>
    <definedName name="Source_2" localSheetId="4">#N/A</definedName>
    <definedName name="Source_2" localSheetId="11">#N/A</definedName>
    <definedName name="Source_2">#N/A</definedName>
    <definedName name="SourcePathAndFileName" localSheetId="0">#REF!</definedName>
    <definedName name="SourcePathAndFileName" localSheetId="5">#N/A</definedName>
    <definedName name="SourcePathAndFileName" localSheetId="11">#N/A</definedName>
    <definedName name="SourcePathAndFileName">#N/A</definedName>
    <definedName name="StaffApp">[4]Universal!$C$11</definedName>
    <definedName name="Tax">[4]Universal!$C$7</definedName>
    <definedName name="TO">[2]amendA!$K$7:$O$7</definedName>
    <definedName name="Total_UFR" localSheetId="0">#REF!</definedName>
    <definedName name="Total_UFR" localSheetId="5">#N/A</definedName>
    <definedName name="Total_UFR" localSheetId="4">#N/A</definedName>
    <definedName name="Total_UFR" localSheetId="11">#N/A</definedName>
    <definedName name="Total_UFR">#N/A</definedName>
    <definedName name="Total_UFRs" localSheetId="0">#REF!</definedName>
    <definedName name="Total_UFRs" localSheetId="5">#N/A</definedName>
    <definedName name="Total_UFRs" localSheetId="11">#N/A</definedName>
    <definedName name="Total_UFRs">#N/A</definedName>
    <definedName name="Total_UFRs_" localSheetId="0">#REF!</definedName>
    <definedName name="Total_UFRs_" localSheetId="5">#N/A</definedName>
    <definedName name="Total_UFRs_" localSheetId="11">#N/A</definedName>
    <definedName name="Total_UFRs_">#N/A</definedName>
    <definedName name="TotalDays">[4]Universal!$C$30:$N$30</definedName>
    <definedName name="UFR" localSheetId="0">'[3]Complete UFR List'!#REF!</definedName>
    <definedName name="UFR" localSheetId="5">'[3]Complete UFR List'!#REF!</definedName>
    <definedName name="UFR" localSheetId="11">'[3]Complete UFR List'!#REF!</definedName>
    <definedName name="UFR">'[3]Complete UFR List'!#REF!</definedName>
    <definedName name="UFRS" localSheetId="5">'[3]Complete UFR List'!#REF!</definedName>
    <definedName name="UFRS" localSheetId="11">'[3]Complete UFR List'!#REF!</definedName>
    <definedName name="UFRS">'[3]Complete UFR List'!#REF!</definedName>
    <definedName name="UPDATE" localSheetId="11">'[3]Complete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0">'[3]Complete UFR List'!#REF!</definedName>
    <definedName name="wefqwerqwe" localSheetId="11">'[3]Complete UFR List'!#REF!</definedName>
    <definedName name="wefqwerqwe">'[3]Complete UFR List'!#REF!</definedName>
    <definedName name="yes" localSheetId="0">'[3]Complete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14" i="12" l="1"/>
  <c r="D60" i="10"/>
  <c r="C60" i="10"/>
  <c r="D8" i="10"/>
  <c r="C8" i="10"/>
  <c r="H8" i="10"/>
  <c r="J57" i="12"/>
  <c r="J36" i="12"/>
  <c r="J16" i="12"/>
  <c r="C22" i="16" l="1"/>
  <c r="CN36" i="21"/>
  <c r="CM36" i="21"/>
  <c r="CL36" i="21"/>
  <c r="CK36" i="21"/>
  <c r="CJ36" i="21"/>
  <c r="CI36" i="21"/>
  <c r="CH36" i="21"/>
  <c r="CG36" i="21"/>
  <c r="CP36" i="21" s="1"/>
  <c r="CP38" i="21" s="1"/>
  <c r="CK34" i="21"/>
  <c r="CI34" i="21"/>
  <c r="CP31" i="21"/>
  <c r="CG31" i="21"/>
  <c r="CP21" i="21"/>
  <c r="CN21" i="21"/>
  <c r="CM21" i="21"/>
  <c r="CL21" i="21"/>
  <c r="CK21" i="21"/>
  <c r="CJ21" i="21"/>
  <c r="CI21" i="21"/>
  <c r="CH21" i="21"/>
  <c r="CG21" i="21"/>
  <c r="CN19" i="21"/>
  <c r="CN34" i="21" s="1"/>
  <c r="CM19" i="21"/>
  <c r="CM34" i="21" s="1"/>
  <c r="CL19" i="21"/>
  <c r="CL34" i="21" s="1"/>
  <c r="CK19" i="21"/>
  <c r="CJ19" i="21"/>
  <c r="CJ34" i="21" s="1"/>
  <c r="CI19" i="21"/>
  <c r="CH19" i="21"/>
  <c r="CH34" i="21" s="1"/>
  <c r="CG19" i="21"/>
  <c r="CG34" i="21" s="1"/>
  <c r="CG16" i="21"/>
  <c r="CP16" i="21" s="1"/>
  <c r="K3" i="2"/>
  <c r="K4" i="5"/>
  <c r="H23" i="16"/>
  <c r="H24" i="16" s="1"/>
  <c r="H26" i="16" s="1"/>
  <c r="CP23" i="21" l="1"/>
  <c r="N9" i="12" l="1"/>
  <c r="E20" i="7"/>
  <c r="F7" i="7"/>
  <c r="F8" i="7"/>
  <c r="F6" i="7"/>
  <c r="F7" i="6"/>
  <c r="F6" i="6"/>
  <c r="F7" i="5"/>
  <c r="F8" i="5"/>
  <c r="F6" i="5"/>
  <c r="F6" i="3"/>
  <c r="F7" i="3"/>
  <c r="F5" i="3"/>
  <c r="F8" i="2" l="1"/>
  <c r="F6" i="2"/>
  <c r="G7" i="1"/>
  <c r="G8" i="1"/>
  <c r="G6" i="1"/>
  <c r="I21" i="2" l="1"/>
  <c r="AP6" i="12"/>
  <c r="AP5" i="12"/>
  <c r="AP4" i="12"/>
  <c r="I12" i="12"/>
  <c r="I32" i="12"/>
  <c r="I53" i="12"/>
  <c r="I16" i="12" l="1"/>
  <c r="K20" i="1"/>
  <c r="C50" i="12"/>
  <c r="H10" i="16"/>
  <c r="H9" i="16"/>
  <c r="I9" i="16" s="1"/>
  <c r="I10" i="16" s="1"/>
  <c r="H8" i="16"/>
  <c r="H7" i="16"/>
  <c r="H6" i="16"/>
  <c r="H11" i="16" l="1"/>
  <c r="H12" i="16" s="1"/>
  <c r="I36" i="12"/>
  <c r="I57" i="12"/>
  <c r="C6" i="10"/>
  <c r="I7" i="12" l="1"/>
  <c r="C21" i="16" l="1"/>
  <c r="C20" i="16"/>
  <c r="K12" i="1" s="1"/>
  <c r="C5" i="16"/>
  <c r="I16" i="3" l="1"/>
  <c r="I20" i="5"/>
  <c r="I20" i="7"/>
  <c r="J18" i="6"/>
  <c r="I18" i="2"/>
  <c r="K17" i="1"/>
  <c r="N6" i="12"/>
  <c r="I9" i="12" s="1"/>
  <c r="I10" i="3"/>
  <c r="I12" i="5"/>
  <c r="I13" i="7"/>
  <c r="I12" i="2"/>
  <c r="J11" i="7"/>
  <c r="J8" i="3"/>
  <c r="K10" i="1"/>
  <c r="J10" i="2"/>
  <c r="AQ82" i="17"/>
  <c r="AO82" i="17"/>
  <c r="AM82" i="17"/>
  <c r="AK82" i="17"/>
  <c r="AI82" i="17"/>
  <c r="AG82" i="17"/>
  <c r="AE82" i="17"/>
  <c r="AC82" i="17"/>
  <c r="AA82" i="17"/>
  <c r="Y82" i="17"/>
  <c r="W82" i="17"/>
  <c r="U82" i="17"/>
  <c r="S82" i="17"/>
  <c r="Q82" i="17"/>
  <c r="O82" i="17"/>
  <c r="M82" i="17"/>
  <c r="K82" i="17"/>
  <c r="I82" i="17"/>
  <c r="G82" i="17"/>
  <c r="E82" i="17"/>
  <c r="AQ81" i="17"/>
  <c r="AO81" i="17"/>
  <c r="AM81" i="17"/>
  <c r="AK81" i="17"/>
  <c r="AI81" i="17"/>
  <c r="AG81" i="17"/>
  <c r="AE81" i="17"/>
  <c r="AC81" i="17"/>
  <c r="AA81" i="17"/>
  <c r="Y81" i="17"/>
  <c r="W81" i="17"/>
  <c r="U81" i="17"/>
  <c r="S81" i="17"/>
  <c r="Q81" i="17"/>
  <c r="O81" i="17"/>
  <c r="M81" i="17"/>
  <c r="K81" i="17"/>
  <c r="I81" i="17"/>
  <c r="G81" i="17"/>
  <c r="E81" i="17"/>
  <c r="AQ80" i="17"/>
  <c r="AO80" i="17"/>
  <c r="AM80" i="17"/>
  <c r="AK80" i="17"/>
  <c r="AI80" i="17"/>
  <c r="AG80" i="17"/>
  <c r="AE80" i="17"/>
  <c r="AC80" i="17"/>
  <c r="AA80" i="17"/>
  <c r="Y80" i="17"/>
  <c r="W80" i="17"/>
  <c r="U80" i="17"/>
  <c r="S80" i="17"/>
  <c r="Q80" i="17"/>
  <c r="O80" i="17"/>
  <c r="M80" i="17"/>
  <c r="K80" i="17"/>
  <c r="I80" i="17"/>
  <c r="G80" i="17"/>
  <c r="E80" i="17"/>
  <c r="AQ79" i="17"/>
  <c r="AO79" i="17"/>
  <c r="AM79" i="17"/>
  <c r="AK79" i="17"/>
  <c r="AI79" i="17"/>
  <c r="AG79" i="17"/>
  <c r="AE79" i="17"/>
  <c r="AC79" i="17"/>
  <c r="AA79" i="17"/>
  <c r="Y79" i="17"/>
  <c r="W79" i="17"/>
  <c r="U79" i="17"/>
  <c r="S79" i="17"/>
  <c r="Q79" i="17"/>
  <c r="O79" i="17"/>
  <c r="M79" i="17"/>
  <c r="K79" i="17"/>
  <c r="I79" i="17"/>
  <c r="G79" i="17"/>
  <c r="E79" i="17"/>
  <c r="AQ78" i="17"/>
  <c r="AO78" i="17"/>
  <c r="AM78" i="17"/>
  <c r="AK78" i="17"/>
  <c r="AI78" i="17"/>
  <c r="AG78" i="17"/>
  <c r="AE78" i="17"/>
  <c r="AC78" i="17"/>
  <c r="AA78" i="17"/>
  <c r="Y78" i="17"/>
  <c r="W78" i="17"/>
  <c r="U78" i="17"/>
  <c r="S78" i="17"/>
  <c r="Q78" i="17"/>
  <c r="O78" i="17"/>
  <c r="M78" i="17"/>
  <c r="K78" i="17"/>
  <c r="I78" i="17"/>
  <c r="G78" i="17"/>
  <c r="E78" i="17"/>
  <c r="AQ77" i="17"/>
  <c r="AO77" i="17"/>
  <c r="AM77" i="17"/>
  <c r="AK77" i="17"/>
  <c r="AI77" i="17"/>
  <c r="AG77" i="17"/>
  <c r="AE77" i="17"/>
  <c r="AC77" i="17"/>
  <c r="AA77" i="17"/>
  <c r="Y77" i="17"/>
  <c r="W77" i="17"/>
  <c r="U77" i="17"/>
  <c r="S77" i="17"/>
  <c r="Q77" i="17"/>
  <c r="O77" i="17"/>
  <c r="M77" i="17"/>
  <c r="K77" i="17"/>
  <c r="I77" i="17"/>
  <c r="G77" i="17"/>
  <c r="E77" i="17"/>
  <c r="AQ76" i="17"/>
  <c r="AO76" i="17"/>
  <c r="AM76" i="17"/>
  <c r="AK76" i="17"/>
  <c r="AI76" i="17"/>
  <c r="AG76" i="17"/>
  <c r="AE76" i="17"/>
  <c r="AC76" i="17"/>
  <c r="AA76" i="17"/>
  <c r="Y76" i="17"/>
  <c r="W76" i="17"/>
  <c r="U76" i="17"/>
  <c r="S76" i="17"/>
  <c r="Q76" i="17"/>
  <c r="O76" i="17"/>
  <c r="M76" i="17"/>
  <c r="K76" i="17"/>
  <c r="I76" i="17"/>
  <c r="G76" i="17"/>
  <c r="E76" i="17"/>
  <c r="AQ75" i="17"/>
  <c r="AO75" i="17"/>
  <c r="AM75" i="17"/>
  <c r="AK75" i="17"/>
  <c r="AI75" i="17"/>
  <c r="AG75" i="17"/>
  <c r="AE75" i="17"/>
  <c r="AC75" i="17"/>
  <c r="AA75" i="17"/>
  <c r="Y75" i="17"/>
  <c r="W75" i="17"/>
  <c r="U75" i="17"/>
  <c r="S75" i="17"/>
  <c r="Q75" i="17"/>
  <c r="O75" i="17"/>
  <c r="M75" i="17"/>
  <c r="K75" i="17"/>
  <c r="I75" i="17"/>
  <c r="G75" i="17"/>
  <c r="E75" i="17"/>
  <c r="AQ74" i="17"/>
  <c r="AO74" i="17"/>
  <c r="AM74" i="17"/>
  <c r="AK74" i="17"/>
  <c r="AI74" i="17"/>
  <c r="AG74" i="17"/>
  <c r="AE74" i="17"/>
  <c r="AC74" i="17"/>
  <c r="AA74" i="17"/>
  <c r="Y74" i="17"/>
  <c r="W74" i="17"/>
  <c r="U74" i="17"/>
  <c r="S74" i="17"/>
  <c r="Q74" i="17"/>
  <c r="O74" i="17"/>
  <c r="M74" i="17"/>
  <c r="K74" i="17"/>
  <c r="I74" i="17"/>
  <c r="G74" i="17"/>
  <c r="E74" i="17"/>
  <c r="AQ73" i="17"/>
  <c r="AO73" i="17"/>
  <c r="AM73" i="17"/>
  <c r="AK73" i="17"/>
  <c r="AI73" i="17"/>
  <c r="AG73" i="17"/>
  <c r="AE73" i="17"/>
  <c r="AC73" i="17"/>
  <c r="AA73" i="17"/>
  <c r="Y73" i="17"/>
  <c r="W73" i="17"/>
  <c r="U73" i="17"/>
  <c r="S73" i="17"/>
  <c r="Q73" i="17"/>
  <c r="O73" i="17"/>
  <c r="M73" i="17"/>
  <c r="K73" i="17"/>
  <c r="I73" i="17"/>
  <c r="G73" i="17"/>
  <c r="E73" i="17"/>
  <c r="AQ72" i="17"/>
  <c r="AO72" i="17"/>
  <c r="AM72" i="17"/>
  <c r="AK72" i="17"/>
  <c r="AI72" i="17"/>
  <c r="AG72" i="17"/>
  <c r="AE72" i="17"/>
  <c r="AC72" i="17"/>
  <c r="AA72" i="17"/>
  <c r="Y72" i="17"/>
  <c r="W72" i="17"/>
  <c r="U72" i="17"/>
  <c r="S72" i="17"/>
  <c r="Q72" i="17"/>
  <c r="O72" i="17"/>
  <c r="M72" i="17"/>
  <c r="K72" i="17"/>
  <c r="I72" i="17"/>
  <c r="G72" i="17"/>
  <c r="E72" i="17"/>
  <c r="AQ71" i="17"/>
  <c r="AO71" i="17"/>
  <c r="AM71" i="17"/>
  <c r="AK71" i="17"/>
  <c r="AI71" i="17"/>
  <c r="AG71" i="17"/>
  <c r="AE71" i="17"/>
  <c r="AC71" i="17"/>
  <c r="AA71" i="17"/>
  <c r="Y71" i="17"/>
  <c r="W71" i="17"/>
  <c r="U71" i="17"/>
  <c r="S71" i="17"/>
  <c r="Q71" i="17"/>
  <c r="O71" i="17"/>
  <c r="M71" i="17"/>
  <c r="K71" i="17"/>
  <c r="I71" i="17"/>
  <c r="G71" i="17"/>
  <c r="E71" i="17"/>
  <c r="AQ70" i="17"/>
  <c r="AO70" i="17"/>
  <c r="AM70" i="17"/>
  <c r="AK70" i="17"/>
  <c r="AI70" i="17"/>
  <c r="AG70" i="17"/>
  <c r="AE70" i="17"/>
  <c r="AC70" i="17"/>
  <c r="AA70" i="17"/>
  <c r="Y70" i="17"/>
  <c r="W70" i="17"/>
  <c r="U70" i="17"/>
  <c r="S70" i="17"/>
  <c r="Q70" i="17"/>
  <c r="O70" i="17"/>
  <c r="M70" i="17"/>
  <c r="K70" i="17"/>
  <c r="I70" i="17"/>
  <c r="G70" i="17"/>
  <c r="E70" i="17"/>
  <c r="AQ69" i="17"/>
  <c r="AO69" i="17"/>
  <c r="AM69" i="17"/>
  <c r="AK69" i="17"/>
  <c r="AI69" i="17"/>
  <c r="AG69" i="17"/>
  <c r="AE69" i="17"/>
  <c r="AC69" i="17"/>
  <c r="AA69" i="17"/>
  <c r="Y69" i="17"/>
  <c r="W69" i="17"/>
  <c r="U69" i="17"/>
  <c r="S69" i="17"/>
  <c r="Q69" i="17"/>
  <c r="O69" i="17"/>
  <c r="M69" i="17"/>
  <c r="K69" i="17"/>
  <c r="I69" i="17"/>
  <c r="G69" i="17"/>
  <c r="E69" i="17"/>
  <c r="AQ68" i="17"/>
  <c r="AO68" i="17"/>
  <c r="AM68" i="17"/>
  <c r="AK68" i="17"/>
  <c r="AI68" i="17"/>
  <c r="AG68" i="17"/>
  <c r="AE68" i="17"/>
  <c r="AC68" i="17"/>
  <c r="AA68" i="17"/>
  <c r="Y68" i="17"/>
  <c r="W68" i="17"/>
  <c r="U68" i="17"/>
  <c r="S68" i="17"/>
  <c r="Q68" i="17"/>
  <c r="O68" i="17"/>
  <c r="M68" i="17"/>
  <c r="K68" i="17"/>
  <c r="I68" i="17"/>
  <c r="G68" i="17"/>
  <c r="E68" i="17"/>
  <c r="AQ67" i="17"/>
  <c r="AO67" i="17"/>
  <c r="AM67" i="17"/>
  <c r="AK67" i="17"/>
  <c r="AI67" i="17"/>
  <c r="AG67" i="17"/>
  <c r="AE67" i="17"/>
  <c r="AC67" i="17"/>
  <c r="AA67" i="17"/>
  <c r="Y67" i="17"/>
  <c r="W67" i="17"/>
  <c r="U67" i="17"/>
  <c r="S67" i="17"/>
  <c r="Q67" i="17"/>
  <c r="O67" i="17"/>
  <c r="M67" i="17"/>
  <c r="K67" i="17"/>
  <c r="I67" i="17"/>
  <c r="G67" i="17"/>
  <c r="E67" i="17"/>
  <c r="AQ66" i="17"/>
  <c r="AO66" i="17"/>
  <c r="AM66" i="17"/>
  <c r="AK66" i="17"/>
  <c r="AI66" i="17"/>
  <c r="AG66" i="17"/>
  <c r="AE66" i="17"/>
  <c r="AC66" i="17"/>
  <c r="AA66" i="17"/>
  <c r="Y66" i="17"/>
  <c r="W66" i="17"/>
  <c r="U66" i="17"/>
  <c r="S66" i="17"/>
  <c r="Q66" i="17"/>
  <c r="O66" i="17"/>
  <c r="M66" i="17"/>
  <c r="K66" i="17"/>
  <c r="I66" i="17"/>
  <c r="G66" i="17"/>
  <c r="E66" i="17"/>
  <c r="AQ65" i="17"/>
  <c r="AO65" i="17"/>
  <c r="AM65" i="17"/>
  <c r="AK65" i="17"/>
  <c r="AI65" i="17"/>
  <c r="AG65" i="17"/>
  <c r="AE65" i="17"/>
  <c r="AC65" i="17"/>
  <c r="AA65" i="17"/>
  <c r="Y65" i="17"/>
  <c r="W65" i="17"/>
  <c r="U65" i="17"/>
  <c r="S65" i="17"/>
  <c r="Q65" i="17"/>
  <c r="O65" i="17"/>
  <c r="M65" i="17"/>
  <c r="K65" i="17"/>
  <c r="I65" i="17"/>
  <c r="G65" i="17"/>
  <c r="E65" i="17"/>
  <c r="AQ64" i="17"/>
  <c r="AO64" i="17"/>
  <c r="AM64" i="17"/>
  <c r="AK64" i="17"/>
  <c r="AI64" i="17"/>
  <c r="AG64" i="17"/>
  <c r="AE64" i="17"/>
  <c r="AC64" i="17"/>
  <c r="AA64" i="17"/>
  <c r="Y64" i="17"/>
  <c r="W64" i="17"/>
  <c r="U64" i="17"/>
  <c r="S64" i="17"/>
  <c r="Q64" i="17"/>
  <c r="O64" i="17"/>
  <c r="M64" i="17"/>
  <c r="K64" i="17"/>
  <c r="I64" i="17"/>
  <c r="G64" i="17"/>
  <c r="E64" i="17"/>
  <c r="AQ63" i="17"/>
  <c r="AO63" i="17"/>
  <c r="AM63" i="17"/>
  <c r="AK63" i="17"/>
  <c r="AI63" i="17"/>
  <c r="AG63" i="17"/>
  <c r="AE63" i="17"/>
  <c r="AC63" i="17"/>
  <c r="AA63" i="17"/>
  <c r="Y63" i="17"/>
  <c r="W63" i="17"/>
  <c r="U63" i="17"/>
  <c r="S63" i="17"/>
  <c r="Q63" i="17"/>
  <c r="O63" i="17"/>
  <c r="M63" i="17"/>
  <c r="K63" i="17"/>
  <c r="I63" i="17"/>
  <c r="G63" i="17"/>
  <c r="E63" i="17"/>
  <c r="AQ62" i="17"/>
  <c r="AO62" i="17"/>
  <c r="AM62" i="17"/>
  <c r="AK62" i="17"/>
  <c r="AI62" i="17"/>
  <c r="AG62" i="17"/>
  <c r="AE62" i="17"/>
  <c r="AC62" i="17"/>
  <c r="AA62" i="17"/>
  <c r="Y62" i="17"/>
  <c r="W62" i="17"/>
  <c r="U62" i="17"/>
  <c r="S62" i="17"/>
  <c r="Q62" i="17"/>
  <c r="O62" i="17"/>
  <c r="M62" i="17"/>
  <c r="K62" i="17"/>
  <c r="I62" i="17"/>
  <c r="G62" i="17"/>
  <c r="E62" i="17"/>
  <c r="AQ61" i="17"/>
  <c r="AO61" i="17"/>
  <c r="AM61" i="17"/>
  <c r="AK61" i="17"/>
  <c r="AI61" i="17"/>
  <c r="AG61" i="17"/>
  <c r="AE61" i="17"/>
  <c r="AC61" i="17"/>
  <c r="AA61" i="17"/>
  <c r="Y61" i="17"/>
  <c r="W61" i="17"/>
  <c r="U61" i="17"/>
  <c r="S61" i="17"/>
  <c r="Q61" i="17"/>
  <c r="O61" i="17"/>
  <c r="M61" i="17"/>
  <c r="K61" i="17"/>
  <c r="I61" i="17"/>
  <c r="G61" i="17"/>
  <c r="E61" i="17"/>
  <c r="AQ60" i="17"/>
  <c r="AO60" i="17"/>
  <c r="AM60" i="17"/>
  <c r="AK60" i="17"/>
  <c r="AI60" i="17"/>
  <c r="AG60" i="17"/>
  <c r="AE60" i="17"/>
  <c r="AC60" i="17"/>
  <c r="AA60" i="17"/>
  <c r="Y60" i="17"/>
  <c r="W60" i="17"/>
  <c r="U60" i="17"/>
  <c r="S60" i="17"/>
  <c r="Q60" i="17"/>
  <c r="O60" i="17"/>
  <c r="M60" i="17"/>
  <c r="K60" i="17"/>
  <c r="I60" i="17"/>
  <c r="G60" i="17"/>
  <c r="E60" i="17"/>
  <c r="AQ59" i="17"/>
  <c r="AO59" i="17"/>
  <c r="AM59" i="17"/>
  <c r="AK59" i="17"/>
  <c r="AI59" i="17"/>
  <c r="AG59" i="17"/>
  <c r="AE59" i="17"/>
  <c r="AC59" i="17"/>
  <c r="AA59" i="17"/>
  <c r="Y59" i="17"/>
  <c r="W59" i="17"/>
  <c r="U59" i="17"/>
  <c r="S59" i="17"/>
  <c r="Q59" i="17"/>
  <c r="O59" i="17"/>
  <c r="M59" i="17"/>
  <c r="K59" i="17"/>
  <c r="I59" i="17"/>
  <c r="G59" i="17"/>
  <c r="E59" i="17"/>
  <c r="AQ58" i="17"/>
  <c r="AO58" i="17"/>
  <c r="AM58" i="17"/>
  <c r="AK58" i="17"/>
  <c r="AI58" i="17"/>
  <c r="AG58" i="17"/>
  <c r="AE58" i="17"/>
  <c r="AC58" i="17"/>
  <c r="AA58" i="17"/>
  <c r="Y58" i="17"/>
  <c r="W58" i="17"/>
  <c r="U58" i="17"/>
  <c r="S58" i="17"/>
  <c r="Q58" i="17"/>
  <c r="O58" i="17"/>
  <c r="M58" i="17"/>
  <c r="K58" i="17"/>
  <c r="I58" i="17"/>
  <c r="G58" i="17"/>
  <c r="E58" i="17"/>
  <c r="AQ57" i="17"/>
  <c r="AO57" i="17"/>
  <c r="AM57" i="17"/>
  <c r="AK57" i="17"/>
  <c r="AI57" i="17"/>
  <c r="AG57" i="17"/>
  <c r="AE57" i="17"/>
  <c r="AC57" i="17"/>
  <c r="AA57" i="17"/>
  <c r="Y57" i="17"/>
  <c r="W57" i="17"/>
  <c r="U57" i="17"/>
  <c r="S57" i="17"/>
  <c r="Q57" i="17"/>
  <c r="O57" i="17"/>
  <c r="M57" i="17"/>
  <c r="K57" i="17"/>
  <c r="I57" i="17"/>
  <c r="G57" i="17"/>
  <c r="E57" i="17"/>
  <c r="AQ56" i="17"/>
  <c r="AO56" i="17"/>
  <c r="AM56" i="17"/>
  <c r="AK56" i="17"/>
  <c r="AI56" i="17"/>
  <c r="AG56" i="17"/>
  <c r="AE56" i="17"/>
  <c r="AC56" i="17"/>
  <c r="AA56" i="17"/>
  <c r="Y56" i="17"/>
  <c r="W56" i="17"/>
  <c r="U56" i="17"/>
  <c r="S56" i="17"/>
  <c r="Q56" i="17"/>
  <c r="O56" i="17"/>
  <c r="M56" i="17"/>
  <c r="K56" i="17"/>
  <c r="I56" i="17"/>
  <c r="G56" i="17"/>
  <c r="E56" i="17"/>
  <c r="AQ55" i="17"/>
  <c r="AO55" i="17"/>
  <c r="AM55" i="17"/>
  <c r="AK55" i="17"/>
  <c r="AI55" i="17"/>
  <c r="AG55" i="17"/>
  <c r="AE55" i="17"/>
  <c r="AC55" i="17"/>
  <c r="AA55" i="17"/>
  <c r="Y55" i="17"/>
  <c r="W55" i="17"/>
  <c r="U55" i="17"/>
  <c r="S55" i="17"/>
  <c r="Q55" i="17"/>
  <c r="O55" i="17"/>
  <c r="M55" i="17"/>
  <c r="K55" i="17"/>
  <c r="I55" i="17"/>
  <c r="G55" i="17"/>
  <c r="E55" i="17"/>
  <c r="AQ54" i="17"/>
  <c r="AO54" i="17"/>
  <c r="AM54" i="17"/>
  <c r="AK54" i="17"/>
  <c r="AI54" i="17"/>
  <c r="AG54" i="17"/>
  <c r="AE54" i="17"/>
  <c r="AC54" i="17"/>
  <c r="AA54" i="17"/>
  <c r="Y54" i="17"/>
  <c r="W54" i="17"/>
  <c r="U54" i="17"/>
  <c r="S54" i="17"/>
  <c r="Q54" i="17"/>
  <c r="O54" i="17"/>
  <c r="M54" i="17"/>
  <c r="K54" i="17"/>
  <c r="I54" i="17"/>
  <c r="G54" i="17"/>
  <c r="E54" i="17"/>
  <c r="AQ53" i="17"/>
  <c r="AO53" i="17"/>
  <c r="AM53" i="17"/>
  <c r="AK53" i="17"/>
  <c r="AI53" i="17"/>
  <c r="AG53" i="17"/>
  <c r="AE53" i="17"/>
  <c r="AC53" i="17"/>
  <c r="AA53" i="17"/>
  <c r="Y53" i="17"/>
  <c r="W53" i="17"/>
  <c r="U53" i="17"/>
  <c r="S53" i="17"/>
  <c r="Q53" i="17"/>
  <c r="O53" i="17"/>
  <c r="M53" i="17"/>
  <c r="K53" i="17"/>
  <c r="I53" i="17"/>
  <c r="G53" i="17"/>
  <c r="E53" i="17"/>
  <c r="AQ52" i="17"/>
  <c r="AO52" i="17"/>
  <c r="AM52" i="17"/>
  <c r="AK52" i="17"/>
  <c r="AI52" i="17"/>
  <c r="AG52" i="17"/>
  <c r="AE52" i="17"/>
  <c r="AC52" i="17"/>
  <c r="AA52" i="17"/>
  <c r="Y52" i="17"/>
  <c r="W52" i="17"/>
  <c r="U52" i="17"/>
  <c r="S52" i="17"/>
  <c r="Q52" i="17"/>
  <c r="O52" i="17"/>
  <c r="M52" i="17"/>
  <c r="K52" i="17"/>
  <c r="I52" i="17"/>
  <c r="G52" i="17"/>
  <c r="E52" i="17"/>
  <c r="AQ51" i="17"/>
  <c r="AO51" i="17"/>
  <c r="AM51" i="17"/>
  <c r="AK51" i="17"/>
  <c r="AI51" i="17"/>
  <c r="AG51" i="17"/>
  <c r="AE51" i="17"/>
  <c r="AC51" i="17"/>
  <c r="AA51" i="17"/>
  <c r="Y51" i="17"/>
  <c r="W51" i="17"/>
  <c r="U51" i="17"/>
  <c r="S51" i="17"/>
  <c r="Q51" i="17"/>
  <c r="O51" i="17"/>
  <c r="M51" i="17"/>
  <c r="K51" i="17"/>
  <c r="I51" i="17"/>
  <c r="G51" i="17"/>
  <c r="E51" i="17"/>
  <c r="AQ50" i="17"/>
  <c r="AO50" i="17"/>
  <c r="AM50" i="17"/>
  <c r="AK50" i="17"/>
  <c r="AI50" i="17"/>
  <c r="AG50" i="17"/>
  <c r="AE50" i="17"/>
  <c r="AC50" i="17"/>
  <c r="AA50" i="17"/>
  <c r="Y50" i="17"/>
  <c r="W50" i="17"/>
  <c r="U50" i="17"/>
  <c r="S50" i="17"/>
  <c r="Q50" i="17"/>
  <c r="O50" i="17"/>
  <c r="M50" i="17"/>
  <c r="K50" i="17"/>
  <c r="I50" i="17"/>
  <c r="G50" i="17"/>
  <c r="E50" i="17"/>
  <c r="AQ49" i="17"/>
  <c r="AO49" i="17"/>
  <c r="AM49" i="17"/>
  <c r="AK49" i="17"/>
  <c r="AI49" i="17"/>
  <c r="AG49" i="17"/>
  <c r="AE49" i="17"/>
  <c r="AC49" i="17"/>
  <c r="AA49" i="17"/>
  <c r="Y49" i="17"/>
  <c r="W49" i="17"/>
  <c r="U49" i="17"/>
  <c r="S49" i="17"/>
  <c r="Q49" i="17"/>
  <c r="O49" i="17"/>
  <c r="M49" i="17"/>
  <c r="K49" i="17"/>
  <c r="I49" i="17"/>
  <c r="G49" i="17"/>
  <c r="E49" i="17"/>
  <c r="AQ48" i="17"/>
  <c r="AO48" i="17"/>
  <c r="AM48" i="17"/>
  <c r="AK48" i="17"/>
  <c r="AI48" i="17"/>
  <c r="AG48" i="17"/>
  <c r="AE48" i="17"/>
  <c r="AC48" i="17"/>
  <c r="AA48" i="17"/>
  <c r="Y48" i="17"/>
  <c r="W48" i="17"/>
  <c r="U48" i="17"/>
  <c r="S48" i="17"/>
  <c r="Q48" i="17"/>
  <c r="O48" i="17"/>
  <c r="M48" i="17"/>
  <c r="K48" i="17"/>
  <c r="I48" i="17"/>
  <c r="G48" i="17"/>
  <c r="E48" i="17"/>
  <c r="AQ47" i="17"/>
  <c r="AO47" i="17"/>
  <c r="AM47" i="17"/>
  <c r="AK47" i="17"/>
  <c r="AI47" i="17"/>
  <c r="AG47" i="17"/>
  <c r="AE47" i="17"/>
  <c r="AC47" i="17"/>
  <c r="AA47" i="17"/>
  <c r="Y47" i="17"/>
  <c r="W47" i="17"/>
  <c r="U47" i="17"/>
  <c r="S47" i="17"/>
  <c r="Q47" i="17"/>
  <c r="O47" i="17"/>
  <c r="M47" i="17"/>
  <c r="K47" i="17"/>
  <c r="I47" i="17"/>
  <c r="G47" i="17"/>
  <c r="E47" i="17"/>
  <c r="AQ46" i="17"/>
  <c r="AO46" i="17"/>
  <c r="AM46" i="17"/>
  <c r="AK46" i="17"/>
  <c r="AI46" i="17"/>
  <c r="AG46" i="17"/>
  <c r="AE46" i="17"/>
  <c r="AC46" i="17"/>
  <c r="AA46" i="17"/>
  <c r="Y46" i="17"/>
  <c r="W46" i="17"/>
  <c r="U46" i="17"/>
  <c r="S46" i="17"/>
  <c r="Q46" i="17"/>
  <c r="O46" i="17"/>
  <c r="M46" i="17"/>
  <c r="K46" i="17"/>
  <c r="I46" i="17"/>
  <c r="G46" i="17"/>
  <c r="E46" i="17"/>
  <c r="AQ45" i="17"/>
  <c r="AO45" i="17"/>
  <c r="AM45" i="17"/>
  <c r="AK45" i="17"/>
  <c r="AI45" i="17"/>
  <c r="AG45" i="17"/>
  <c r="AE45" i="17"/>
  <c r="AC45" i="17"/>
  <c r="AA45" i="17"/>
  <c r="Y45" i="17"/>
  <c r="W45" i="17"/>
  <c r="U45" i="17"/>
  <c r="S45" i="17"/>
  <c r="Q45" i="17"/>
  <c r="O45" i="17"/>
  <c r="M45" i="17"/>
  <c r="K45" i="17"/>
  <c r="I45" i="17"/>
  <c r="G45" i="17"/>
  <c r="E45" i="17"/>
  <c r="AQ44" i="17"/>
  <c r="AO44" i="17"/>
  <c r="AM44" i="17"/>
  <c r="AK44" i="17"/>
  <c r="AI44" i="17"/>
  <c r="AG44" i="17"/>
  <c r="AE44" i="17"/>
  <c r="AC44" i="17"/>
  <c r="AA44" i="17"/>
  <c r="Y44" i="17"/>
  <c r="W44" i="17"/>
  <c r="U44" i="17"/>
  <c r="S44" i="17"/>
  <c r="Q44" i="17"/>
  <c r="O44" i="17"/>
  <c r="M44" i="17"/>
  <c r="K44" i="17"/>
  <c r="I44" i="17"/>
  <c r="G44" i="17"/>
  <c r="E44" i="17"/>
  <c r="AQ43" i="17"/>
  <c r="AO43" i="17"/>
  <c r="AM43" i="17"/>
  <c r="AK43" i="17"/>
  <c r="AI43" i="17"/>
  <c r="AG43" i="17"/>
  <c r="AE43" i="17"/>
  <c r="AC43" i="17"/>
  <c r="AA43" i="17"/>
  <c r="Y43" i="17"/>
  <c r="W43" i="17"/>
  <c r="U43" i="17"/>
  <c r="S43" i="17"/>
  <c r="Q43" i="17"/>
  <c r="O43" i="17"/>
  <c r="M43" i="17"/>
  <c r="K43" i="17"/>
  <c r="I43" i="17"/>
  <c r="G43" i="17"/>
  <c r="E43" i="17"/>
  <c r="AQ42" i="17"/>
  <c r="AO42" i="17"/>
  <c r="AM42" i="17"/>
  <c r="AK42" i="17"/>
  <c r="AI42" i="17"/>
  <c r="AG42" i="17"/>
  <c r="AE42" i="17"/>
  <c r="AC42" i="17"/>
  <c r="AA42" i="17"/>
  <c r="Y42" i="17"/>
  <c r="W42" i="17"/>
  <c r="U42" i="17"/>
  <c r="S42" i="17"/>
  <c r="Q42" i="17"/>
  <c r="O42" i="17"/>
  <c r="M42" i="17"/>
  <c r="K42" i="17"/>
  <c r="I42" i="17"/>
  <c r="G42" i="17"/>
  <c r="E42" i="17"/>
  <c r="AQ41" i="17"/>
  <c r="AO41" i="17"/>
  <c r="AM41" i="17"/>
  <c r="AK41" i="17"/>
  <c r="AI41" i="17"/>
  <c r="AG41" i="17"/>
  <c r="AE41" i="17"/>
  <c r="AC41" i="17"/>
  <c r="AA41" i="17"/>
  <c r="Y41" i="17"/>
  <c r="W41" i="17"/>
  <c r="U41" i="17"/>
  <c r="S41" i="17"/>
  <c r="Q41" i="17"/>
  <c r="O41" i="17"/>
  <c r="M41" i="17"/>
  <c r="K41" i="17"/>
  <c r="I41" i="17"/>
  <c r="G41" i="17"/>
  <c r="E41" i="17"/>
  <c r="AQ40" i="17"/>
  <c r="AO40" i="17"/>
  <c r="AM40" i="17"/>
  <c r="AK40" i="17"/>
  <c r="AI40" i="17"/>
  <c r="AG40" i="17"/>
  <c r="AE40" i="17"/>
  <c r="AC40" i="17"/>
  <c r="AA40" i="17"/>
  <c r="Y40" i="17"/>
  <c r="W40" i="17"/>
  <c r="U40" i="17"/>
  <c r="S40" i="17"/>
  <c r="Q40" i="17"/>
  <c r="O40" i="17"/>
  <c r="M40" i="17"/>
  <c r="K40" i="17"/>
  <c r="I40" i="17"/>
  <c r="G40" i="17"/>
  <c r="E40" i="17"/>
  <c r="AQ39" i="17"/>
  <c r="AO39" i="17"/>
  <c r="AM39" i="17"/>
  <c r="AK39" i="17"/>
  <c r="AI39" i="17"/>
  <c r="AG39" i="17"/>
  <c r="AE39" i="17"/>
  <c r="AC39" i="17"/>
  <c r="AA39" i="17"/>
  <c r="Y39" i="17"/>
  <c r="W39" i="17"/>
  <c r="U39" i="17"/>
  <c r="S39" i="17"/>
  <c r="Q39" i="17"/>
  <c r="O39" i="17"/>
  <c r="M39" i="17"/>
  <c r="K39" i="17"/>
  <c r="I39" i="17"/>
  <c r="G39" i="17"/>
  <c r="E39" i="17"/>
  <c r="AQ38" i="17"/>
  <c r="AO38" i="17"/>
  <c r="AM38" i="17"/>
  <c r="AK38" i="17"/>
  <c r="AI38" i="17"/>
  <c r="AG38" i="17"/>
  <c r="AE38" i="17"/>
  <c r="AC38" i="17"/>
  <c r="AA38" i="17"/>
  <c r="Y38" i="17"/>
  <c r="W38" i="17"/>
  <c r="U38" i="17"/>
  <c r="S38" i="17"/>
  <c r="Q38" i="17"/>
  <c r="O38" i="17"/>
  <c r="M38" i="17"/>
  <c r="K38" i="17"/>
  <c r="I38" i="17"/>
  <c r="G38" i="17"/>
  <c r="E38" i="17"/>
  <c r="AQ37" i="17"/>
  <c r="AO37" i="17"/>
  <c r="AM37" i="17"/>
  <c r="AK37" i="17"/>
  <c r="AI37" i="17"/>
  <c r="AG37" i="17"/>
  <c r="AE37" i="17"/>
  <c r="AC37" i="17"/>
  <c r="AA37" i="17"/>
  <c r="Y37" i="17"/>
  <c r="W37" i="17"/>
  <c r="U37" i="17"/>
  <c r="S37" i="17"/>
  <c r="Q37" i="17"/>
  <c r="O37" i="17"/>
  <c r="M37" i="17"/>
  <c r="K37" i="17"/>
  <c r="I37" i="17"/>
  <c r="G37" i="17"/>
  <c r="E37" i="17"/>
  <c r="AQ36" i="17"/>
  <c r="AO36" i="17"/>
  <c r="AM36" i="17"/>
  <c r="AK36" i="17"/>
  <c r="AI36" i="17"/>
  <c r="AG36" i="17"/>
  <c r="AE36" i="17"/>
  <c r="AC36" i="17"/>
  <c r="AA36" i="17"/>
  <c r="Y36" i="17"/>
  <c r="W36" i="17"/>
  <c r="U36" i="17"/>
  <c r="S36" i="17"/>
  <c r="Q36" i="17"/>
  <c r="O36" i="17"/>
  <c r="M36" i="17"/>
  <c r="K36" i="17"/>
  <c r="I36" i="17"/>
  <c r="G36" i="17"/>
  <c r="E36" i="17"/>
  <c r="AQ35" i="17"/>
  <c r="AO35" i="17"/>
  <c r="AM35" i="17"/>
  <c r="AK35" i="17"/>
  <c r="AI35" i="17"/>
  <c r="AG35" i="17"/>
  <c r="AE35" i="17"/>
  <c r="AC35" i="17"/>
  <c r="AA35" i="17"/>
  <c r="Y35" i="17"/>
  <c r="W35" i="17"/>
  <c r="U35" i="17"/>
  <c r="S35" i="17"/>
  <c r="Q35" i="17"/>
  <c r="O35" i="17"/>
  <c r="M35" i="17"/>
  <c r="K35" i="17"/>
  <c r="I35" i="17"/>
  <c r="G35" i="17"/>
  <c r="E35" i="17"/>
  <c r="AQ34" i="17"/>
  <c r="AO34" i="17"/>
  <c r="AM34" i="17"/>
  <c r="AK34" i="17"/>
  <c r="AI34" i="17"/>
  <c r="AG34" i="17"/>
  <c r="AE34" i="17"/>
  <c r="AC34" i="17"/>
  <c r="AA34" i="17"/>
  <c r="Y34" i="17"/>
  <c r="W34" i="17"/>
  <c r="U34" i="17"/>
  <c r="S34" i="17"/>
  <c r="Q34" i="17"/>
  <c r="O34" i="17"/>
  <c r="M34" i="17"/>
  <c r="K34" i="17"/>
  <c r="I34" i="17"/>
  <c r="G34" i="17"/>
  <c r="E34" i="17"/>
  <c r="AQ33" i="17"/>
  <c r="AO33" i="17"/>
  <c r="AM33" i="17"/>
  <c r="AK33" i="17"/>
  <c r="AI33" i="17"/>
  <c r="AG33" i="17"/>
  <c r="AE33" i="17"/>
  <c r="AC33" i="17"/>
  <c r="AA33" i="17"/>
  <c r="Y33" i="17"/>
  <c r="W33" i="17"/>
  <c r="U33" i="17"/>
  <c r="S33" i="17"/>
  <c r="Q33" i="17"/>
  <c r="O33" i="17"/>
  <c r="M33" i="17"/>
  <c r="K33" i="17"/>
  <c r="I33" i="17"/>
  <c r="G33" i="17"/>
  <c r="E33" i="17"/>
  <c r="AQ32" i="17"/>
  <c r="AO32" i="17"/>
  <c r="AM32" i="17"/>
  <c r="AK32" i="17"/>
  <c r="AI32" i="17"/>
  <c r="AG32" i="17"/>
  <c r="AE32" i="17"/>
  <c r="AC32" i="17"/>
  <c r="AA32" i="17"/>
  <c r="Y32" i="17"/>
  <c r="W32" i="17"/>
  <c r="U32" i="17"/>
  <c r="S32" i="17"/>
  <c r="Q32" i="17"/>
  <c r="O32" i="17"/>
  <c r="M32" i="17"/>
  <c r="K32" i="17"/>
  <c r="I32" i="17"/>
  <c r="G32" i="17"/>
  <c r="E32" i="17"/>
  <c r="AQ31" i="17"/>
  <c r="AO31" i="17"/>
  <c r="AM31" i="17"/>
  <c r="AK31" i="17"/>
  <c r="AI31" i="17"/>
  <c r="AG31" i="17"/>
  <c r="AE31" i="17"/>
  <c r="AC31" i="17"/>
  <c r="AA31" i="17"/>
  <c r="Y31" i="17"/>
  <c r="W31" i="17"/>
  <c r="U31" i="17"/>
  <c r="S31" i="17"/>
  <c r="Q31" i="17"/>
  <c r="O31" i="17"/>
  <c r="M31" i="17"/>
  <c r="K31" i="17"/>
  <c r="I31" i="17"/>
  <c r="G31" i="17"/>
  <c r="E31" i="17"/>
  <c r="AQ30" i="17"/>
  <c r="AO30" i="17"/>
  <c r="AM30" i="17"/>
  <c r="AK30" i="17"/>
  <c r="AI30" i="17"/>
  <c r="AG30" i="17"/>
  <c r="AE30" i="17"/>
  <c r="AC30" i="17"/>
  <c r="AA30" i="17"/>
  <c r="Y30" i="17"/>
  <c r="W30" i="17"/>
  <c r="U30" i="17"/>
  <c r="S30" i="17"/>
  <c r="Q30" i="17"/>
  <c r="O30" i="17"/>
  <c r="M30" i="17"/>
  <c r="K30" i="17"/>
  <c r="I30" i="17"/>
  <c r="G30" i="17"/>
  <c r="E30" i="17"/>
  <c r="AQ29" i="17"/>
  <c r="AO29" i="17"/>
  <c r="AM29" i="17"/>
  <c r="AK29" i="17"/>
  <c r="AI29" i="17"/>
  <c r="AG29" i="17"/>
  <c r="AE29" i="17"/>
  <c r="AC29" i="17"/>
  <c r="AA29" i="17"/>
  <c r="Y29" i="17"/>
  <c r="W29" i="17"/>
  <c r="U29" i="17"/>
  <c r="S29" i="17"/>
  <c r="Q29" i="17"/>
  <c r="O29" i="17"/>
  <c r="M29" i="17"/>
  <c r="K29" i="17"/>
  <c r="I29" i="17"/>
  <c r="G29" i="17"/>
  <c r="E29" i="17"/>
  <c r="AQ28" i="17"/>
  <c r="AO28" i="17"/>
  <c r="AM28" i="17"/>
  <c r="AK28" i="17"/>
  <c r="AI28" i="17"/>
  <c r="AG28" i="17"/>
  <c r="AE28" i="17"/>
  <c r="AC28" i="17"/>
  <c r="AA28" i="17"/>
  <c r="Y28" i="17"/>
  <c r="W28" i="17"/>
  <c r="U28" i="17"/>
  <c r="S28" i="17"/>
  <c r="Q28" i="17"/>
  <c r="O28" i="17"/>
  <c r="M28" i="17"/>
  <c r="K28" i="17"/>
  <c r="I28" i="17"/>
  <c r="G28" i="17"/>
  <c r="E28" i="17"/>
  <c r="AQ27" i="17"/>
  <c r="AO27" i="17"/>
  <c r="AM27" i="17"/>
  <c r="AK27" i="17"/>
  <c r="AI27" i="17"/>
  <c r="AG27" i="17"/>
  <c r="AE27" i="17"/>
  <c r="AC27" i="17"/>
  <c r="AA27" i="17"/>
  <c r="Y27" i="17"/>
  <c r="W27" i="17"/>
  <c r="U27" i="17"/>
  <c r="S27" i="17"/>
  <c r="Q27" i="17"/>
  <c r="O27" i="17"/>
  <c r="M27" i="17"/>
  <c r="K27" i="17"/>
  <c r="I27" i="17"/>
  <c r="G27" i="17"/>
  <c r="E27" i="17"/>
  <c r="AQ26" i="17"/>
  <c r="AO26" i="17"/>
  <c r="AM26" i="17"/>
  <c r="AK26" i="17"/>
  <c r="AI26" i="17"/>
  <c r="AG26" i="17"/>
  <c r="AE26" i="17"/>
  <c r="AC26" i="17"/>
  <c r="AA26" i="17"/>
  <c r="Y26" i="17"/>
  <c r="W26" i="17"/>
  <c r="U26" i="17"/>
  <c r="S26" i="17"/>
  <c r="Q26" i="17"/>
  <c r="O26" i="17"/>
  <c r="M26" i="17"/>
  <c r="K26" i="17"/>
  <c r="I26" i="17"/>
  <c r="G26" i="17"/>
  <c r="E26" i="17"/>
  <c r="AQ25" i="17"/>
  <c r="AO25" i="17"/>
  <c r="AM25" i="17"/>
  <c r="AK25" i="17"/>
  <c r="AI25" i="17"/>
  <c r="AG25" i="17"/>
  <c r="AE25" i="17"/>
  <c r="AC25" i="17"/>
  <c r="AA25" i="17"/>
  <c r="Y25" i="17"/>
  <c r="W25" i="17"/>
  <c r="U25" i="17"/>
  <c r="S25" i="17"/>
  <c r="Q25" i="17"/>
  <c r="O25" i="17"/>
  <c r="M25" i="17"/>
  <c r="K25" i="17"/>
  <c r="I25" i="17"/>
  <c r="G25" i="17"/>
  <c r="E25" i="17"/>
  <c r="AQ24" i="17"/>
  <c r="AO24" i="17"/>
  <c r="AM24" i="17"/>
  <c r="AK24" i="17"/>
  <c r="AI24" i="17"/>
  <c r="AG24" i="17"/>
  <c r="AE24" i="17"/>
  <c r="AC24" i="17"/>
  <c r="AA24" i="17"/>
  <c r="Y24" i="17"/>
  <c r="W24" i="17"/>
  <c r="U24" i="17"/>
  <c r="S24" i="17"/>
  <c r="Q24" i="17"/>
  <c r="O24" i="17"/>
  <c r="M24" i="17"/>
  <c r="K24" i="17"/>
  <c r="I24" i="17"/>
  <c r="G24" i="17"/>
  <c r="E24" i="17"/>
  <c r="AQ23" i="17"/>
  <c r="AO23" i="17"/>
  <c r="AM23" i="17"/>
  <c r="AK23" i="17"/>
  <c r="AI23" i="17"/>
  <c r="AG23" i="17"/>
  <c r="AE23" i="17"/>
  <c r="AC23" i="17"/>
  <c r="AA23" i="17"/>
  <c r="Y23" i="17"/>
  <c r="W23" i="17"/>
  <c r="U23" i="17"/>
  <c r="S23" i="17"/>
  <c r="Q23" i="17"/>
  <c r="O23" i="17"/>
  <c r="M23" i="17"/>
  <c r="K23" i="17"/>
  <c r="I23" i="17"/>
  <c r="G23" i="17"/>
  <c r="E23" i="17"/>
  <c r="AQ22" i="17"/>
  <c r="AO22" i="17"/>
  <c r="AM22" i="17"/>
  <c r="AK22" i="17"/>
  <c r="AI22" i="17"/>
  <c r="AG22" i="17"/>
  <c r="AE22" i="17"/>
  <c r="AC22" i="17"/>
  <c r="AA22" i="17"/>
  <c r="Y22" i="17"/>
  <c r="W22" i="17"/>
  <c r="U22" i="17"/>
  <c r="S22" i="17"/>
  <c r="Q22" i="17"/>
  <c r="O22" i="17"/>
  <c r="M22" i="17"/>
  <c r="K22" i="17"/>
  <c r="I22" i="17"/>
  <c r="G22" i="17"/>
  <c r="E22" i="17"/>
  <c r="AQ21" i="17"/>
  <c r="AO21" i="17"/>
  <c r="AM21" i="17"/>
  <c r="AK21" i="17"/>
  <c r="AI21" i="17"/>
  <c r="AG21" i="17"/>
  <c r="AE21" i="17"/>
  <c r="AC21" i="17"/>
  <c r="AA21" i="17"/>
  <c r="Y21" i="17"/>
  <c r="W21" i="17"/>
  <c r="U21" i="17"/>
  <c r="S21" i="17"/>
  <c r="Q21" i="17"/>
  <c r="O21" i="17"/>
  <c r="M21" i="17"/>
  <c r="K21" i="17"/>
  <c r="I21" i="17"/>
  <c r="G21" i="17"/>
  <c r="E21" i="17"/>
  <c r="AQ20" i="17"/>
  <c r="AO20" i="17"/>
  <c r="AM20" i="17"/>
  <c r="AK20" i="17"/>
  <c r="AI20" i="17"/>
  <c r="AG20" i="17"/>
  <c r="AE20" i="17"/>
  <c r="AC20" i="17"/>
  <c r="AA20" i="17"/>
  <c r="Y20" i="17"/>
  <c r="W20" i="17"/>
  <c r="U20" i="17"/>
  <c r="S20" i="17"/>
  <c r="Q20" i="17"/>
  <c r="O20" i="17"/>
  <c r="M20" i="17"/>
  <c r="K20" i="17"/>
  <c r="I20" i="17"/>
  <c r="G20" i="17"/>
  <c r="E20" i="17"/>
  <c r="AQ19" i="17"/>
  <c r="AO19" i="17"/>
  <c r="AM19" i="17"/>
  <c r="AK19" i="17"/>
  <c r="AI19" i="17"/>
  <c r="AG19" i="17"/>
  <c r="AE19" i="17"/>
  <c r="AC19" i="17"/>
  <c r="AA19" i="17"/>
  <c r="Y19" i="17"/>
  <c r="W19" i="17"/>
  <c r="U19" i="17"/>
  <c r="S19" i="17"/>
  <c r="Q19" i="17"/>
  <c r="O19" i="17"/>
  <c r="M19" i="17"/>
  <c r="K19" i="17"/>
  <c r="I19" i="17"/>
  <c r="G19" i="17"/>
  <c r="E19" i="17"/>
  <c r="AQ18" i="17"/>
  <c r="AO18" i="17"/>
  <c r="AM18" i="17"/>
  <c r="AK18" i="17"/>
  <c r="AI18" i="17"/>
  <c r="AG18" i="17"/>
  <c r="AE18" i="17"/>
  <c r="AC18" i="17"/>
  <c r="AA18" i="17"/>
  <c r="Y18" i="17"/>
  <c r="W18" i="17"/>
  <c r="U18" i="17"/>
  <c r="S18" i="17"/>
  <c r="Q18" i="17"/>
  <c r="O18" i="17"/>
  <c r="M18" i="17"/>
  <c r="K18" i="17"/>
  <c r="I18" i="17"/>
  <c r="G18" i="17"/>
  <c r="E18" i="17"/>
  <c r="AQ17" i="17"/>
  <c r="AO17" i="17"/>
  <c r="AM17" i="17"/>
  <c r="AK17" i="17"/>
  <c r="AI17" i="17"/>
  <c r="AG17" i="17"/>
  <c r="AE17" i="17"/>
  <c r="AC17" i="17"/>
  <c r="AA17" i="17"/>
  <c r="Y17" i="17"/>
  <c r="W17" i="17"/>
  <c r="U17" i="17"/>
  <c r="S17" i="17"/>
  <c r="Q17" i="17"/>
  <c r="O17" i="17"/>
  <c r="M17" i="17"/>
  <c r="K17" i="17"/>
  <c r="I17" i="17"/>
  <c r="G17" i="17"/>
  <c r="E17" i="17"/>
  <c r="AQ16" i="17"/>
  <c r="AO16" i="17"/>
  <c r="AM16" i="17"/>
  <c r="AK16" i="17"/>
  <c r="AI16" i="17"/>
  <c r="AG16" i="17"/>
  <c r="AE16" i="17"/>
  <c r="AC16" i="17"/>
  <c r="AA16" i="17"/>
  <c r="Y16" i="17"/>
  <c r="W16" i="17"/>
  <c r="U16" i="17"/>
  <c r="S16" i="17"/>
  <c r="Q16" i="17"/>
  <c r="O16" i="17"/>
  <c r="M16" i="17"/>
  <c r="K16" i="17"/>
  <c r="I16" i="17"/>
  <c r="G16" i="17"/>
  <c r="E16" i="17"/>
  <c r="AQ15" i="17"/>
  <c r="AO15" i="17"/>
  <c r="AM15" i="17"/>
  <c r="AK15" i="17"/>
  <c r="AI15" i="17"/>
  <c r="AG15" i="17"/>
  <c r="AE15" i="17"/>
  <c r="AC15" i="17"/>
  <c r="AA15" i="17"/>
  <c r="Y15" i="17"/>
  <c r="W15" i="17"/>
  <c r="U15" i="17"/>
  <c r="S15" i="17"/>
  <c r="Q15" i="17"/>
  <c r="O15" i="17"/>
  <c r="M15" i="17"/>
  <c r="K15" i="17"/>
  <c r="I15" i="17"/>
  <c r="G15" i="17"/>
  <c r="E15" i="17"/>
  <c r="AQ14" i="17"/>
  <c r="AO14" i="17"/>
  <c r="AM14" i="17"/>
  <c r="AK14" i="17"/>
  <c r="AI14" i="17"/>
  <c r="AG14" i="17"/>
  <c r="AE14" i="17"/>
  <c r="AC14" i="17"/>
  <c r="AA14" i="17"/>
  <c r="Y14" i="17"/>
  <c r="W14" i="17"/>
  <c r="U14" i="17"/>
  <c r="S14" i="17"/>
  <c r="Q14" i="17"/>
  <c r="O14" i="17"/>
  <c r="M14" i="17"/>
  <c r="K14" i="17"/>
  <c r="I14" i="17"/>
  <c r="G14" i="17"/>
  <c r="E14" i="17"/>
  <c r="AQ13" i="17"/>
  <c r="AO13" i="17"/>
  <c r="AM13" i="17"/>
  <c r="AM6" i="17"/>
  <c r="AK13" i="17"/>
  <c r="AI13" i="17"/>
  <c r="AG13" i="17"/>
  <c r="AE13" i="17"/>
  <c r="AC13" i="17"/>
  <c r="AA13" i="17"/>
  <c r="Y13" i="17"/>
  <c r="W13" i="17"/>
  <c r="U13" i="17"/>
  <c r="S13" i="17"/>
  <c r="Q13" i="17"/>
  <c r="O13" i="17"/>
  <c r="M13" i="17"/>
  <c r="K13" i="17"/>
  <c r="I13" i="17"/>
  <c r="G13" i="17"/>
  <c r="E13" i="17"/>
  <c r="AQ12" i="17"/>
  <c r="AO12" i="17"/>
  <c r="AM12" i="17"/>
  <c r="AK12" i="17"/>
  <c r="AI12" i="17"/>
  <c r="AG12" i="17"/>
  <c r="AE12" i="17"/>
  <c r="AC12" i="17"/>
  <c r="AA12" i="17"/>
  <c r="Y12" i="17"/>
  <c r="W12" i="17"/>
  <c r="U12" i="17"/>
  <c r="S12" i="17"/>
  <c r="Q12" i="17"/>
  <c r="O12" i="17"/>
  <c r="M12" i="17"/>
  <c r="K12" i="17"/>
  <c r="I12" i="17"/>
  <c r="G12" i="17"/>
  <c r="E12" i="17"/>
  <c r="AQ10" i="17"/>
  <c r="AO10" i="17"/>
  <c r="AM10" i="17"/>
  <c r="AK10" i="17"/>
  <c r="AI10" i="17"/>
  <c r="AG10" i="17"/>
  <c r="AE10" i="17"/>
  <c r="AC10" i="17"/>
  <c r="AA10" i="17"/>
  <c r="Y10" i="17"/>
  <c r="W10" i="17"/>
  <c r="U10" i="17"/>
  <c r="S10" i="17"/>
  <c r="Q10" i="17"/>
  <c r="O10" i="17"/>
  <c r="M10" i="17"/>
  <c r="K10" i="17"/>
  <c r="I10" i="17"/>
  <c r="G10" i="17"/>
  <c r="E10" i="17"/>
  <c r="AM5" i="17"/>
  <c r="AM3" i="17"/>
  <c r="AQ1" i="17"/>
  <c r="AQ3" i="17" s="1"/>
  <c r="AO1" i="17"/>
  <c r="AO2" i="17" s="1"/>
  <c r="AM1" i="17"/>
  <c r="AK1" i="17"/>
  <c r="AK3" i="17" s="1"/>
  <c r="AI1" i="17"/>
  <c r="AI3" i="17" s="1"/>
  <c r="AG1" i="17"/>
  <c r="AG2" i="17" s="1"/>
  <c r="AA1" i="17"/>
  <c r="AA2" i="17" s="1"/>
  <c r="Y1" i="17"/>
  <c r="Y3" i="17" s="1"/>
  <c r="W1" i="17"/>
  <c r="W3" i="17" s="1"/>
  <c r="U1" i="17"/>
  <c r="U2" i="17" s="1"/>
  <c r="S1" i="17"/>
  <c r="S3" i="17" s="1"/>
  <c r="Q1" i="17"/>
  <c r="Q3" i="17" s="1"/>
  <c r="K1" i="17"/>
  <c r="K2" i="17" s="1"/>
  <c r="I1" i="17"/>
  <c r="I2" i="17" s="1"/>
  <c r="G1" i="17"/>
  <c r="G2" i="17" s="1"/>
  <c r="E1" i="17"/>
  <c r="E2" i="17" s="1"/>
  <c r="M1" i="17"/>
  <c r="M3" i="17" s="1"/>
  <c r="AC1" i="17"/>
  <c r="AC2" i="17" s="1"/>
  <c r="O1" i="17"/>
  <c r="O3" i="17" s="1"/>
  <c r="AE1" i="17"/>
  <c r="AE3" i="17" s="1"/>
  <c r="AM2" i="17"/>
  <c r="AM4" i="17"/>
  <c r="D68" i="10"/>
  <c r="C68" i="10"/>
  <c r="D58" i="10"/>
  <c r="D59" i="10"/>
  <c r="D61" i="10" s="1"/>
  <c r="C54" i="12"/>
  <c r="B54" i="12"/>
  <c r="C33" i="12"/>
  <c r="B33" i="12"/>
  <c r="C13" i="12"/>
  <c r="B13" i="12"/>
  <c r="D50" i="12"/>
  <c r="C29" i="12"/>
  <c r="D29" i="12" s="1"/>
  <c r="D9" i="12"/>
  <c r="D47" i="12"/>
  <c r="D48" i="12" s="1"/>
  <c r="D26" i="12"/>
  <c r="D6" i="12"/>
  <c r="D7" i="12" s="1"/>
  <c r="K4" i="7"/>
  <c r="K10" i="6"/>
  <c r="J10" i="5"/>
  <c r="K29" i="2"/>
  <c r="C61" i="10"/>
  <c r="C69" i="10" s="1"/>
  <c r="CP40" i="15"/>
  <c r="CP42" i="15" s="1"/>
  <c r="CP36" i="15"/>
  <c r="CG36" i="15"/>
  <c r="CN25" i="15"/>
  <c r="CM25" i="15"/>
  <c r="CL25" i="15"/>
  <c r="CK25" i="15"/>
  <c r="CJ25" i="15"/>
  <c r="CI25" i="15"/>
  <c r="CH25" i="15"/>
  <c r="CG25" i="15"/>
  <c r="CP25" i="15"/>
  <c r="CP27" i="15" s="1"/>
  <c r="CG21" i="15"/>
  <c r="CP21" i="15"/>
  <c r="C52" i="14"/>
  <c r="J52" i="14" s="1"/>
  <c r="C51" i="14"/>
  <c r="J51" i="14" s="1"/>
  <c r="C50" i="14"/>
  <c r="J50" i="14" s="1"/>
  <c r="J45" i="14"/>
  <c r="J44" i="14"/>
  <c r="C33" i="14"/>
  <c r="J33" i="14" s="1"/>
  <c r="K33" i="14" s="1"/>
  <c r="C31" i="14"/>
  <c r="J31" i="14" s="1"/>
  <c r="K31" i="14" s="1"/>
  <c r="C29" i="14"/>
  <c r="C30" i="14" s="1"/>
  <c r="J30" i="14" s="1"/>
  <c r="K30" i="14" s="1"/>
  <c r="C27" i="14"/>
  <c r="C28" i="14" s="1"/>
  <c r="J28" i="14" s="1"/>
  <c r="K28" i="14" s="1"/>
  <c r="C25" i="14"/>
  <c r="J25" i="14" s="1"/>
  <c r="K25" i="14" s="1"/>
  <c r="C23" i="14"/>
  <c r="C24" i="14" s="1"/>
  <c r="J24" i="14" s="1"/>
  <c r="K24" i="14" s="1"/>
  <c r="C21" i="14"/>
  <c r="C22" i="14" s="1"/>
  <c r="C19" i="14"/>
  <c r="J19" i="14" s="1"/>
  <c r="K19" i="14" s="1"/>
  <c r="C17" i="14"/>
  <c r="J17" i="14" s="1"/>
  <c r="K17" i="14" s="1"/>
  <c r="C15" i="14"/>
  <c r="J15" i="14" s="1"/>
  <c r="K15" i="14" s="1"/>
  <c r="C13" i="14"/>
  <c r="J13" i="14" s="1"/>
  <c r="K13" i="14" s="1"/>
  <c r="C11" i="14"/>
  <c r="C12" i="14" s="1"/>
  <c r="C10" i="14"/>
  <c r="J10" i="14" s="1"/>
  <c r="K10" i="14" s="1"/>
  <c r="C9" i="14"/>
  <c r="J9" i="14" s="1"/>
  <c r="K9" i="14" s="1"/>
  <c r="C7" i="14"/>
  <c r="J7" i="14" s="1"/>
  <c r="K7" i="14" s="1"/>
  <c r="C5" i="14"/>
  <c r="C6" i="14" s="1"/>
  <c r="G57" i="12"/>
  <c r="G36" i="12"/>
  <c r="G16" i="12"/>
  <c r="N13" i="12"/>
  <c r="I14" i="12" s="1"/>
  <c r="J53" i="12"/>
  <c r="J32" i="12"/>
  <c r="D16" i="10"/>
  <c r="C16" i="10"/>
  <c r="D6" i="10"/>
  <c r="D8" i="7"/>
  <c r="D7" i="7"/>
  <c r="E13" i="7" s="1"/>
  <c r="D11" i="7"/>
  <c r="E14" i="7" s="1"/>
  <c r="E4" i="7"/>
  <c r="E9" i="6"/>
  <c r="E11" i="6" s="1"/>
  <c r="D8" i="6"/>
  <c r="F8" i="6" s="1"/>
  <c r="E15" i="5"/>
  <c r="D7" i="5"/>
  <c r="D9" i="5" s="1"/>
  <c r="E9" i="5"/>
  <c r="E12" i="5"/>
  <c r="E13" i="5" s="1"/>
  <c r="E13" i="3"/>
  <c r="E12" i="3"/>
  <c r="E9" i="2"/>
  <c r="E10" i="2" s="1"/>
  <c r="D7" i="2"/>
  <c r="F7" i="2" s="1"/>
  <c r="F9" i="1"/>
  <c r="F10" i="1" s="1"/>
  <c r="E8" i="1"/>
  <c r="E10" i="1" s="1"/>
  <c r="F12" i="1" s="1"/>
  <c r="E8" i="3"/>
  <c r="E10" i="3" s="1"/>
  <c r="E9" i="7"/>
  <c r="E11" i="7" s="1"/>
  <c r="E28" i="2"/>
  <c r="C16" i="14" l="1"/>
  <c r="J16" i="14" s="1"/>
  <c r="K16" i="14" s="1"/>
  <c r="D11" i="6"/>
  <c r="E13" i="6" s="1"/>
  <c r="C64" i="10"/>
  <c r="C67" i="10" s="1"/>
  <c r="C62" i="10"/>
  <c r="C63" i="10" s="1"/>
  <c r="D62" i="10"/>
  <c r="D63" i="10" s="1"/>
  <c r="C102" i="10"/>
  <c r="D32" i="19" s="1"/>
  <c r="C10" i="10"/>
  <c r="D10" i="10"/>
  <c r="D102" i="10"/>
  <c r="D35" i="19" s="1"/>
  <c r="D69" i="10"/>
  <c r="D34" i="19" s="1"/>
  <c r="E15" i="7"/>
  <c r="E16" i="7" s="1"/>
  <c r="E14" i="6"/>
  <c r="E15" i="6"/>
  <c r="E16" i="6" s="1"/>
  <c r="E17" i="6" s="1"/>
  <c r="E19" i="6" s="1"/>
  <c r="E20" i="6" s="1"/>
  <c r="E21" i="6" s="1"/>
  <c r="E22" i="6" s="1"/>
  <c r="E16" i="5"/>
  <c r="E17" i="5"/>
  <c r="E18" i="5" s="1"/>
  <c r="D10" i="2"/>
  <c r="E12" i="2" s="1"/>
  <c r="F13" i="1"/>
  <c r="F14" i="1" s="1"/>
  <c r="F15" i="1" s="1"/>
  <c r="F17" i="1" s="1"/>
  <c r="C18" i="14"/>
  <c r="E14" i="3"/>
  <c r="E15" i="3" s="1"/>
  <c r="E16" i="3" s="1"/>
  <c r="E17" i="3" s="1"/>
  <c r="E18" i="3" s="1"/>
  <c r="E19" i="3" s="1"/>
  <c r="J29" i="14"/>
  <c r="K29" i="14" s="1"/>
  <c r="I50" i="12"/>
  <c r="J27" i="14"/>
  <c r="K27" i="14" s="1"/>
  <c r="I29" i="12"/>
  <c r="J11" i="14"/>
  <c r="K11" i="14" s="1"/>
  <c r="C20" i="14"/>
  <c r="J20" i="14" s="1"/>
  <c r="K20" i="14" s="1"/>
  <c r="J12" i="12"/>
  <c r="D27" i="12"/>
  <c r="D28" i="12" s="1"/>
  <c r="D30" i="12" s="1"/>
  <c r="D8" i="12"/>
  <c r="D10" i="12" s="1"/>
  <c r="D13" i="12" s="1"/>
  <c r="I34" i="12"/>
  <c r="D49" i="12"/>
  <c r="D51" i="12" s="1"/>
  <c r="I55" i="12"/>
  <c r="J12" i="14"/>
  <c r="K12" i="14" s="1"/>
  <c r="C10" i="16"/>
  <c r="I6" i="3" s="1"/>
  <c r="K6" i="3" s="1"/>
  <c r="C14" i="16"/>
  <c r="C11" i="16"/>
  <c r="C8" i="14"/>
  <c r="C48" i="14" s="1"/>
  <c r="J48" i="14" s="1"/>
  <c r="C14" i="14"/>
  <c r="I8" i="2" s="1"/>
  <c r="K8" i="2" s="1"/>
  <c r="J21" i="14"/>
  <c r="K21" i="14" s="1"/>
  <c r="C34" i="14"/>
  <c r="C32" i="14"/>
  <c r="C26" i="14"/>
  <c r="J26" i="14" s="1"/>
  <c r="K26" i="14" s="1"/>
  <c r="J18" i="14"/>
  <c r="K18" i="14" s="1"/>
  <c r="E3" i="17"/>
  <c r="E4" i="17" s="1"/>
  <c r="Y2" i="17"/>
  <c r="Y5" i="17" s="1"/>
  <c r="K3" i="17"/>
  <c r="K4" i="17" s="1"/>
  <c r="AO3" i="17"/>
  <c r="AO6" i="17" s="1"/>
  <c r="W2" i="17"/>
  <c r="W6" i="17" s="1"/>
  <c r="AA3" i="17"/>
  <c r="AA5" i="17" s="1"/>
  <c r="C47" i="14"/>
  <c r="J47" i="14" s="1"/>
  <c r="J6" i="14"/>
  <c r="K6" i="14" s="1"/>
  <c r="C36" i="14"/>
  <c r="C4" i="16"/>
  <c r="J22" i="14"/>
  <c r="K22" i="14" s="1"/>
  <c r="AI2" i="17"/>
  <c r="AI6" i="17" s="1"/>
  <c r="J34" i="14"/>
  <c r="K34" i="14" s="1"/>
  <c r="J5" i="14"/>
  <c r="K5" i="14" s="1"/>
  <c r="J23" i="14"/>
  <c r="K23" i="14" s="1"/>
  <c r="AC3" i="17"/>
  <c r="AC4" i="17" s="1"/>
  <c r="O2" i="17"/>
  <c r="O5" i="17" s="1"/>
  <c r="AQ2" i="17"/>
  <c r="AQ6" i="17" s="1"/>
  <c r="AK2" i="17"/>
  <c r="AK5" i="17" s="1"/>
  <c r="Q2" i="17"/>
  <c r="Q4" i="17" s="1"/>
  <c r="AG3" i="17"/>
  <c r="AG5" i="17" s="1"/>
  <c r="I3" i="17"/>
  <c r="I5" i="17" s="1"/>
  <c r="G3" i="17"/>
  <c r="G6" i="17" s="1"/>
  <c r="S2" i="17"/>
  <c r="M2" i="17"/>
  <c r="AE2" i="17"/>
  <c r="U3" i="17"/>
  <c r="U6" i="17" s="1"/>
  <c r="C8" i="16" l="1"/>
  <c r="I7" i="2"/>
  <c r="C65" i="10"/>
  <c r="C66" i="10"/>
  <c r="E17" i="7"/>
  <c r="E18" i="7" s="1"/>
  <c r="E19" i="7" s="1"/>
  <c r="E19" i="5"/>
  <c r="E20" i="5"/>
  <c r="E21" i="5" s="1"/>
  <c r="E22" i="5" s="1"/>
  <c r="E23" i="5" s="1"/>
  <c r="E13" i="2"/>
  <c r="E14" i="2" s="1"/>
  <c r="E15" i="2" s="1"/>
  <c r="E16" i="2" s="1"/>
  <c r="E17" i="2" s="1"/>
  <c r="E18" i="2" s="1"/>
  <c r="I23" i="7"/>
  <c r="J21" i="6"/>
  <c r="I23" i="5"/>
  <c r="I19" i="3"/>
  <c r="J9" i="1"/>
  <c r="L9" i="1" s="1"/>
  <c r="C5" i="10"/>
  <c r="C7" i="10" s="1"/>
  <c r="C9" i="10" s="1"/>
  <c r="H26" i="12"/>
  <c r="J26" i="12" s="1"/>
  <c r="H47" i="12"/>
  <c r="J47" i="12" s="1"/>
  <c r="H6" i="12"/>
  <c r="J6" i="12" s="1"/>
  <c r="I7" i="3"/>
  <c r="K7" i="3" s="1"/>
  <c r="J9" i="6"/>
  <c r="L9" i="6" s="1"/>
  <c r="I9" i="5"/>
  <c r="K9" i="5" s="1"/>
  <c r="I10" i="7"/>
  <c r="K10" i="7" s="1"/>
  <c r="I9" i="2"/>
  <c r="K9" i="2" s="1"/>
  <c r="J6" i="1"/>
  <c r="L6" i="1" s="1"/>
  <c r="H45" i="12"/>
  <c r="J45" i="12" s="1"/>
  <c r="H24" i="12"/>
  <c r="J24" i="12" s="1"/>
  <c r="H4" i="12"/>
  <c r="J4" i="12" s="1"/>
  <c r="I5" i="3"/>
  <c r="K5" i="3" s="1"/>
  <c r="I6" i="7"/>
  <c r="K6" i="7" s="1"/>
  <c r="J6" i="6"/>
  <c r="L6" i="6" s="1"/>
  <c r="I6" i="5"/>
  <c r="K6" i="5" s="1"/>
  <c r="I6" i="2"/>
  <c r="K6" i="2" s="1"/>
  <c r="D33" i="12"/>
  <c r="D31" i="12"/>
  <c r="D32" i="12" s="1"/>
  <c r="D11" i="12"/>
  <c r="D12" i="12" s="1"/>
  <c r="D14" i="12" s="1"/>
  <c r="D15" i="12" s="1"/>
  <c r="AQ4" i="12" s="1"/>
  <c r="D54" i="12"/>
  <c r="D52" i="12"/>
  <c r="D53" i="12" s="1"/>
  <c r="E6" i="17"/>
  <c r="E5" i="17"/>
  <c r="N8" i="12" s="1"/>
  <c r="C46" i="14"/>
  <c r="J46" i="14" s="1"/>
  <c r="C6" i="16"/>
  <c r="C9" i="16"/>
  <c r="J14" i="14"/>
  <c r="K14" i="14" s="1"/>
  <c r="C49" i="14"/>
  <c r="J49" i="14" s="1"/>
  <c r="C13" i="16"/>
  <c r="C12" i="16"/>
  <c r="J8" i="14"/>
  <c r="K8" i="14" s="1"/>
  <c r="J32" i="14"/>
  <c r="K32" i="14" s="1"/>
  <c r="C7" i="16"/>
  <c r="Y4" i="17"/>
  <c r="Y6" i="17"/>
  <c r="AI4" i="17"/>
  <c r="W4" i="17"/>
  <c r="W5" i="17"/>
  <c r="O4" i="17"/>
  <c r="K6" i="17"/>
  <c r="AA6" i="17"/>
  <c r="AI5" i="17"/>
  <c r="K5" i="17"/>
  <c r="AO5" i="17"/>
  <c r="AO4" i="17"/>
  <c r="AA4" i="17"/>
  <c r="AC5" i="17"/>
  <c r="AC6" i="17"/>
  <c r="AK4" i="17"/>
  <c r="AK6" i="17"/>
  <c r="O6" i="17"/>
  <c r="AQ5" i="17"/>
  <c r="AQ4" i="17"/>
  <c r="Q5" i="17"/>
  <c r="Q6" i="17"/>
  <c r="G4" i="17"/>
  <c r="G5" i="17"/>
  <c r="I4" i="17"/>
  <c r="M4" i="17"/>
  <c r="M6" i="17"/>
  <c r="M5" i="17"/>
  <c r="AG4" i="17"/>
  <c r="I6" i="17"/>
  <c r="AG6" i="17"/>
  <c r="U4" i="17"/>
  <c r="S4" i="17"/>
  <c r="S6" i="17"/>
  <c r="S5" i="17"/>
  <c r="AE6" i="17"/>
  <c r="AE5" i="17"/>
  <c r="AE4" i="17"/>
  <c r="U5" i="17"/>
  <c r="I7" i="7" l="1"/>
  <c r="K7" i="7" s="1"/>
  <c r="I7" i="5"/>
  <c r="K7" i="5" s="1"/>
  <c r="E29" i="2"/>
  <c r="F47" i="2" s="1"/>
  <c r="D11" i="19" s="1"/>
  <c r="E19" i="2"/>
  <c r="Z4" i="2" s="1"/>
  <c r="C18" i="16"/>
  <c r="N11" i="12" s="1"/>
  <c r="K8" i="3"/>
  <c r="K10" i="3" s="1"/>
  <c r="K11" i="3" s="1"/>
  <c r="K35" i="14"/>
  <c r="D5" i="10"/>
  <c r="H46" i="12"/>
  <c r="J46" i="12" s="1"/>
  <c r="H25" i="12"/>
  <c r="J25" i="12" s="1"/>
  <c r="J8" i="1"/>
  <c r="L8" i="1" s="1"/>
  <c r="H5" i="12"/>
  <c r="J5" i="12" s="1"/>
  <c r="J8" i="6"/>
  <c r="L8" i="6" s="1"/>
  <c r="I9" i="7"/>
  <c r="K9" i="7" s="1"/>
  <c r="J7" i="1"/>
  <c r="L7" i="1" s="1"/>
  <c r="J7" i="6"/>
  <c r="L7" i="6" s="1"/>
  <c r="I8" i="5"/>
  <c r="K8" i="5" s="1"/>
  <c r="K10" i="5" s="1"/>
  <c r="K12" i="5" s="1"/>
  <c r="K14" i="5" s="1"/>
  <c r="I8" i="7"/>
  <c r="K8" i="7" s="1"/>
  <c r="K7" i="2"/>
  <c r="K10" i="2" s="1"/>
  <c r="C12" i="10"/>
  <c r="C17" i="10"/>
  <c r="C50" i="10"/>
  <c r="E32" i="19" s="1"/>
  <c r="F32" i="19" s="1"/>
  <c r="C11" i="10"/>
  <c r="D55" i="12"/>
  <c r="D56" i="12" s="1"/>
  <c r="AQ6" i="12" s="1"/>
  <c r="D34" i="12"/>
  <c r="D35" i="12" s="1"/>
  <c r="AQ5" i="12" s="1"/>
  <c r="I16" i="2"/>
  <c r="K16" i="2" s="1"/>
  <c r="I14" i="3"/>
  <c r="K14" i="3" s="1"/>
  <c r="C16" i="16"/>
  <c r="I13" i="3"/>
  <c r="K13" i="3" s="1"/>
  <c r="I15" i="2"/>
  <c r="K15" i="2" s="1"/>
  <c r="C17" i="16"/>
  <c r="F53" i="2" l="1"/>
  <c r="Z15" i="2" s="1"/>
  <c r="E31" i="19"/>
  <c r="F31" i="19" s="1"/>
  <c r="J48" i="12"/>
  <c r="J50" i="12" s="1"/>
  <c r="J51" i="12" s="1"/>
  <c r="J54" i="12" s="1"/>
  <c r="J55" i="12" s="1"/>
  <c r="J56" i="12" s="1"/>
  <c r="J58" i="12" s="1"/>
  <c r="E30" i="2"/>
  <c r="E31" i="2" s="1"/>
  <c r="E32" i="2" s="1"/>
  <c r="F51" i="2" s="1"/>
  <c r="F45" i="2"/>
  <c r="F46" i="2"/>
  <c r="D10" i="19" s="1"/>
  <c r="I16" i="5"/>
  <c r="K16" i="5" s="1"/>
  <c r="K15" i="1"/>
  <c r="L15" i="1" s="1"/>
  <c r="I16" i="7"/>
  <c r="K16" i="7" s="1"/>
  <c r="L10" i="6"/>
  <c r="L12" i="6" s="1"/>
  <c r="L14" i="6" s="1"/>
  <c r="K12" i="2"/>
  <c r="K13" i="2" s="1"/>
  <c r="K17" i="2" s="1"/>
  <c r="E33" i="2"/>
  <c r="F52" i="2"/>
  <c r="Z9" i="2"/>
  <c r="J7" i="12"/>
  <c r="J9" i="12" s="1"/>
  <c r="J10" i="12" s="1"/>
  <c r="J13" i="12" s="1"/>
  <c r="J14" i="12" s="1"/>
  <c r="J15" i="12" s="1"/>
  <c r="I27" i="12"/>
  <c r="J27" i="12"/>
  <c r="J29" i="12" s="1"/>
  <c r="J30" i="12" s="1"/>
  <c r="J33" i="12" s="1"/>
  <c r="J34" i="12" s="1"/>
  <c r="J35" i="12" s="1"/>
  <c r="I48" i="12"/>
  <c r="C13" i="10"/>
  <c r="C15" i="10"/>
  <c r="C14" i="10"/>
  <c r="K11" i="7"/>
  <c r="K13" i="7" s="1"/>
  <c r="K15" i="7" s="1"/>
  <c r="L10" i="1"/>
  <c r="L12" i="1" s="1"/>
  <c r="L13" i="1" s="1"/>
  <c r="D7" i="10"/>
  <c r="D9" i="10" s="1"/>
  <c r="J16" i="6"/>
  <c r="L16" i="6" s="1"/>
  <c r="I18" i="7"/>
  <c r="K18" i="7" s="1"/>
  <c r="J15" i="6"/>
  <c r="L15" i="6" s="1"/>
  <c r="I17" i="7"/>
  <c r="K17" i="7" s="1"/>
  <c r="I18" i="5"/>
  <c r="K18" i="5" s="1"/>
  <c r="I17" i="5"/>
  <c r="K17" i="5" s="1"/>
  <c r="K15" i="3"/>
  <c r="K16" i="3" l="1"/>
  <c r="K18" i="3" s="1"/>
  <c r="K19" i="3"/>
  <c r="K18" i="2"/>
  <c r="K20" i="2" s="1"/>
  <c r="K21" i="2"/>
  <c r="D18" i="19"/>
  <c r="Z8" i="2"/>
  <c r="F49" i="2"/>
  <c r="Z11" i="2" s="1"/>
  <c r="Z5" i="2"/>
  <c r="F50" i="2"/>
  <c r="Z12" i="2" s="1"/>
  <c r="Z7" i="2"/>
  <c r="D9" i="19"/>
  <c r="Z13" i="2"/>
  <c r="D15" i="19"/>
  <c r="Z14" i="2"/>
  <c r="D16" i="19"/>
  <c r="L16" i="1"/>
  <c r="F48" i="2"/>
  <c r="Z6" i="2"/>
  <c r="F54" i="2"/>
  <c r="J17" i="12"/>
  <c r="J18" i="12" s="1"/>
  <c r="E26" i="19" s="1"/>
  <c r="F26" i="19" s="1"/>
  <c r="J59" i="12"/>
  <c r="E28" i="19" s="1"/>
  <c r="F28" i="19" s="1"/>
  <c r="D11" i="10"/>
  <c r="D50" i="10"/>
  <c r="E35" i="19" s="1"/>
  <c r="F35" i="19" s="1"/>
  <c r="D17" i="10"/>
  <c r="J37" i="12"/>
  <c r="J38" i="12" s="1"/>
  <c r="E27" i="19" s="1"/>
  <c r="F27" i="19" s="1"/>
  <c r="K19" i="7"/>
  <c r="L17" i="6"/>
  <c r="K19" i="5"/>
  <c r="K20" i="7" l="1"/>
  <c r="K22" i="7" s="1"/>
  <c r="K23" i="7"/>
  <c r="L18" i="6"/>
  <c r="L20" i="6" s="1"/>
  <c r="L21" i="6"/>
  <c r="K20" i="5"/>
  <c r="K22" i="5" s="1"/>
  <c r="K23" i="5"/>
  <c r="K20" i="3"/>
  <c r="K21" i="3" s="1"/>
  <c r="K22" i="3" s="1"/>
  <c r="K22" i="2"/>
  <c r="K23" i="2" s="1"/>
  <c r="L17" i="1"/>
  <c r="L19" i="1" s="1"/>
  <c r="L20" i="1"/>
  <c r="D14" i="19"/>
  <c r="D13" i="19"/>
  <c r="Z16" i="2"/>
  <c r="D19" i="19"/>
  <c r="Z10" i="2"/>
  <c r="G48" i="2"/>
  <c r="D12" i="19"/>
  <c r="E34" i="19"/>
  <c r="F34" i="19" s="1"/>
  <c r="J61" i="12"/>
  <c r="AR6" i="12"/>
  <c r="AS6" i="12" s="1"/>
  <c r="J40" i="12"/>
  <c r="AR5" i="12"/>
  <c r="AS5" i="12" s="1"/>
  <c r="J20" i="12"/>
  <c r="AR4" i="12"/>
  <c r="AS4" i="12" s="1"/>
  <c r="L22" i="6" l="1"/>
  <c r="L23" i="6" s="1"/>
  <c r="L24" i="6" s="1"/>
  <c r="L25" i="6" s="1"/>
  <c r="K24" i="7"/>
  <c r="K25" i="7" s="1"/>
  <c r="K24" i="5"/>
  <c r="K25" i="5" s="1"/>
  <c r="K26" i="5" s="1"/>
  <c r="E22" i="19" s="1"/>
  <c r="E20" i="19"/>
  <c r="K24" i="3"/>
  <c r="K24" i="2"/>
  <c r="K30" i="2"/>
  <c r="L21" i="1"/>
  <c r="L22" i="1" s="1"/>
  <c r="L26" i="6" l="1"/>
  <c r="E23" i="19" s="1"/>
  <c r="F23" i="19" s="1"/>
  <c r="K28" i="5"/>
  <c r="F22" i="19"/>
  <c r="K27" i="7"/>
  <c r="E24" i="19"/>
  <c r="F20" i="19"/>
  <c r="AA4" i="2"/>
  <c r="AB4" i="2" s="1"/>
  <c r="K26" i="2"/>
  <c r="E6" i="19"/>
  <c r="L53" i="2"/>
  <c r="L46" i="2"/>
  <c r="L45" i="2"/>
  <c r="L47" i="2"/>
  <c r="K31" i="2"/>
  <c r="K32" i="2" s="1"/>
  <c r="K33" i="2" s="1"/>
  <c r="E4" i="19"/>
  <c r="L25" i="1"/>
  <c r="L28" i="6" l="1"/>
  <c r="F24" i="19"/>
  <c r="E11" i="19"/>
  <c r="L52" i="2"/>
  <c r="AA9" i="2"/>
  <c r="AB9" i="2" s="1"/>
  <c r="N46" i="2"/>
  <c r="E9" i="19"/>
  <c r="AA7" i="2"/>
  <c r="AB7" i="2" s="1"/>
  <c r="N44" i="2"/>
  <c r="E10" i="19"/>
  <c r="F10" i="19" s="1"/>
  <c r="AA8" i="2"/>
  <c r="AB8" i="2" s="1"/>
  <c r="L49" i="2"/>
  <c r="N45" i="2"/>
  <c r="L50" i="2"/>
  <c r="E18" i="19"/>
  <c r="F18" i="19" s="1"/>
  <c r="AA15" i="2"/>
  <c r="AB15" i="2" s="1"/>
  <c r="N52" i="2"/>
  <c r="F6" i="19"/>
  <c r="AA5" i="2"/>
  <c r="AB5" i="2" s="1"/>
  <c r="L51" i="2"/>
  <c r="E7" i="19"/>
  <c r="F7" i="19" s="1"/>
  <c r="K34" i="2"/>
  <c r="F4" i="19"/>
  <c r="AA6" i="2" l="1"/>
  <c r="AB6" i="2" s="1"/>
  <c r="L48" i="2"/>
  <c r="E8" i="19"/>
  <c r="L54" i="2"/>
  <c r="F9" i="19"/>
  <c r="E14" i="19"/>
  <c r="AA12" i="2"/>
  <c r="AB12" i="2" s="1"/>
  <c r="N49" i="2"/>
  <c r="E13" i="19"/>
  <c r="AA11" i="2"/>
  <c r="AB11" i="2" s="1"/>
  <c r="N48" i="2"/>
  <c r="E16" i="19"/>
  <c r="AA14" i="2"/>
  <c r="AB14" i="2" s="1"/>
  <c r="N51" i="2"/>
  <c r="E15" i="19"/>
  <c r="AA13" i="2"/>
  <c r="AB13" i="2" s="1"/>
  <c r="N50" i="2"/>
  <c r="F11" i="19"/>
  <c r="F14" i="19" l="1"/>
  <c r="E19" i="19"/>
  <c r="F19" i="19" s="1"/>
  <c r="N53" i="2"/>
  <c r="AA16" i="2"/>
  <c r="AB16" i="2" s="1"/>
  <c r="F15" i="19"/>
  <c r="F16" i="19"/>
  <c r="F8" i="19"/>
  <c r="F13" i="19"/>
  <c r="E12" i="19"/>
  <c r="M47" i="2"/>
  <c r="E17" i="19" s="1"/>
  <c r="AA10" i="2"/>
  <c r="AB10" i="2" s="1"/>
  <c r="N47" i="2"/>
  <c r="F17" i="19" l="1"/>
  <c r="F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00000000-0006-0000-0100-000001000000}">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tc={EFCF11BE-014B-4D25-9CB4-EA3C587820D6}</author>
  </authors>
  <commentList>
    <comment ref="G48" authorId="0" shapeId="0" xr:uid="{EFCF11BE-014B-4D25-9CB4-EA3C587820D6}">
      <text>
        <t>[Threaded comment]
Your version of Excel allows you to read this threaded comment; however, any edits to it will get removed if the file is opened in a newer version of Excel. Learn more: https://go.microsoft.com/fwlink/?linkid=870924
Comment:
    H006 TH HD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O30" authorId="0" shapeId="0" xr:uid="{00000000-0006-0000-0B00-000002000000}">
      <text>
        <r>
          <rPr>
            <b/>
            <sz val="9"/>
            <color indexed="81"/>
            <rFont val="Tahoma"/>
            <family val="2"/>
          </rPr>
          <t>Solimini, Kara (EHS):</t>
        </r>
        <r>
          <rPr>
            <sz val="9"/>
            <color indexed="81"/>
            <rFont val="Tahoma"/>
            <family val="2"/>
          </rPr>
          <t xml:space="preserve">
Includes Transportation (Client &amp; Staff) Support and other expenses
</t>
        </r>
      </text>
    </comment>
  </commentList>
</comments>
</file>

<file path=xl/sharedStrings.xml><?xml version="1.0" encoding="utf-8"?>
<sst xmlns="http://schemas.openxmlformats.org/spreadsheetml/2006/main" count="2078" uniqueCount="572">
  <si>
    <t>H2016-HM</t>
  </si>
  <si>
    <t>Case Load</t>
  </si>
  <si>
    <t>FTE</t>
  </si>
  <si>
    <t>Expense</t>
  </si>
  <si>
    <t>Program Management</t>
  </si>
  <si>
    <t>Clinical (MA Lvl)</t>
  </si>
  <si>
    <t>Direct Service and Support Staff</t>
  </si>
  <si>
    <t>Tax and Fringe</t>
  </si>
  <si>
    <t>Total Staffing Costs</t>
  </si>
  <si>
    <t>Amount per FTE</t>
  </si>
  <si>
    <t>Admin Alloc</t>
  </si>
  <si>
    <t xml:space="preserve">CAF </t>
  </si>
  <si>
    <t>TOTAL</t>
  </si>
  <si>
    <t>Daily Case Rate</t>
  </si>
  <si>
    <t xml:space="preserve"> Outpatient Counseling (3385)</t>
  </si>
  <si>
    <t>H0005-H9, H0005, H0005-HQ, H0005-HD, 90882-HF</t>
  </si>
  <si>
    <t>Yearly Hrs Per Person:</t>
  </si>
  <si>
    <t>Clinical Staff</t>
  </si>
  <si>
    <t>Direct Support Staff</t>
  </si>
  <si>
    <t>Support Staffing</t>
  </si>
  <si>
    <t>Total Program Staff</t>
  </si>
  <si>
    <t>Expenses</t>
  </si>
  <si>
    <t>Unit Cost</t>
  </si>
  <si>
    <t>Occupancy</t>
  </si>
  <si>
    <t>Other Expenses</t>
  </si>
  <si>
    <t xml:space="preserve">Total </t>
  </si>
  <si>
    <t>CAF</t>
  </si>
  <si>
    <t>Total Reimbursable Exp. Excl. Admin.</t>
  </si>
  <si>
    <t>Hourly Rate:</t>
  </si>
  <si>
    <t>30 Minute Rate</t>
  </si>
  <si>
    <t>Group Counseling Model</t>
  </si>
  <si>
    <t>Group Counseling and Methadone Group Counseling Model</t>
  </si>
  <si>
    <t>Yearly Hrs Per Person</t>
  </si>
  <si>
    <t>Outpatient Hourly Rate (incl CAF)</t>
  </si>
  <si>
    <t>Category</t>
  </si>
  <si>
    <t>MassHealthCode</t>
  </si>
  <si>
    <t>Description</t>
  </si>
  <si>
    <t>Rate</t>
  </si>
  <si>
    <t xml:space="preserve"> 1.5 Hour Rate (includes 30 min prep time)</t>
  </si>
  <si>
    <t>Outpatient Counseling</t>
  </si>
  <si>
    <t>90882-HF</t>
  </si>
  <si>
    <t>Case Consultation (30 minutes)</t>
  </si>
  <si>
    <t>Billable 90 min Rate Per Person Assuming Group of 5</t>
  </si>
  <si>
    <t>H0001</t>
  </si>
  <si>
    <t>Assessment (15 minutes)</t>
  </si>
  <si>
    <t>Per person rate per 15 min</t>
  </si>
  <si>
    <t>H0004</t>
  </si>
  <si>
    <t>Individual Counseling (15 mintes)</t>
  </si>
  <si>
    <t>45 min rate for reg</t>
  </si>
  <si>
    <t>H0005</t>
  </si>
  <si>
    <t>Group Counseling (45 minutes)</t>
  </si>
  <si>
    <t>Driver Ed Alcohol</t>
  </si>
  <si>
    <t>H0001-H9</t>
  </si>
  <si>
    <t>Court Ordered Assessment (15 minutes)</t>
  </si>
  <si>
    <t>H0004-H9</t>
  </si>
  <si>
    <t>Court ordered therapy (15 minutes)</t>
  </si>
  <si>
    <t>H0005-H9</t>
  </si>
  <si>
    <t>Court ordered group counseling (15 minutes)</t>
  </si>
  <si>
    <t>Pregnant/Postpartum</t>
  </si>
  <si>
    <t>H0004-HD</t>
  </si>
  <si>
    <t>H1005</t>
  </si>
  <si>
    <t>Day Treatment (1 hour)</t>
  </si>
  <si>
    <t>H0005-HD</t>
  </si>
  <si>
    <t>Case Managment (H0006-HN  H0006-HD)</t>
  </si>
  <si>
    <t>Social worker</t>
  </si>
  <si>
    <t>15 Minute Rate</t>
  </si>
  <si>
    <t>H2015-HF</t>
  </si>
  <si>
    <t>Hourly Rate</t>
  </si>
  <si>
    <t>InHome Therapy</t>
  </si>
  <si>
    <t>H2019-HF</t>
  </si>
  <si>
    <t>Yearly HRs:</t>
  </si>
  <si>
    <t>Travel</t>
  </si>
  <si>
    <t>Other Program Expense</t>
  </si>
  <si>
    <t>Total w/CAF</t>
  </si>
  <si>
    <t>Current 15 minute Rate</t>
  </si>
  <si>
    <t>Psycho-Educational Groups</t>
  </si>
  <si>
    <t>H2027</t>
  </si>
  <si>
    <t>Tax &amp; Fringe</t>
  </si>
  <si>
    <t>Admin Allocation</t>
  </si>
  <si>
    <t>Hourly Group of 5 rate</t>
  </si>
  <si>
    <t>Individual Rate</t>
  </si>
  <si>
    <t>15 minutes  rate</t>
  </si>
  <si>
    <t>Day Treatment 3.5 Hours</t>
  </si>
  <si>
    <t>H1005-HQ, H2012-HF</t>
  </si>
  <si>
    <t>Days Per Year</t>
  </si>
  <si>
    <t>Travel (broken out of other prog exp)</t>
  </si>
  <si>
    <t>subtotal</t>
  </si>
  <si>
    <t xml:space="preserve">Rate </t>
  </si>
  <si>
    <t>Source:</t>
  </si>
  <si>
    <t>BLS / OES</t>
  </si>
  <si>
    <t>Position</t>
  </si>
  <si>
    <t>Common model titles (not all inclusive)</t>
  </si>
  <si>
    <t>Minimum Education and/or certification/Training/Experience</t>
  </si>
  <si>
    <t xml:space="preserve">Master Look-up Table </t>
  </si>
  <si>
    <t>Direct Care (hourly)</t>
  </si>
  <si>
    <t>High School diploma / GED / State Training</t>
  </si>
  <si>
    <t>Days</t>
  </si>
  <si>
    <t>Hours</t>
  </si>
  <si>
    <t>Direct Care  (annual)</t>
  </si>
  <si>
    <t>vacation</t>
  </si>
  <si>
    <t>Direct Care III (hourly)</t>
  </si>
  <si>
    <t>Direct Care Supervisor, Direct Care Bachelors</t>
  </si>
  <si>
    <t>Bachelors Level or 5+ years related experience</t>
  </si>
  <si>
    <t>sick/ personal</t>
  </si>
  <si>
    <t>Direct Care III (annual)</t>
  </si>
  <si>
    <t>holidays</t>
  </si>
  <si>
    <t>Certified Nursing Assistant  (hourly)</t>
  </si>
  <si>
    <t>Completed a state-approved education program and must pass their state’s competency exam. </t>
  </si>
  <si>
    <t>training</t>
  </si>
  <si>
    <t>Certified Nursing Assistant  (annual)</t>
  </si>
  <si>
    <t>Administrative/Supervision/Misc</t>
  </si>
  <si>
    <t xml:space="preserve">Case / Social Worker (hourly) </t>
  </si>
  <si>
    <t>BA level social worker, LSW, BSW</t>
  </si>
  <si>
    <t>Bachelors Level or 8+ years related experience</t>
  </si>
  <si>
    <t>Total Hours per FTE:</t>
  </si>
  <si>
    <t>Case / Social Worker (annual)</t>
  </si>
  <si>
    <t>LDAC1</t>
  </si>
  <si>
    <t>Available Annual Hours per FTE:</t>
  </si>
  <si>
    <t>Case Manager / Social Worker / Clinical w/o independent License (hourly)</t>
  </si>
  <si>
    <t>LDAC2,  LMSW, LCSW</t>
  </si>
  <si>
    <t>Masters Level</t>
  </si>
  <si>
    <t>Benchmark Expenses</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</si>
  <si>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</si>
  <si>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</si>
  <si>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</si>
  <si>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</si>
  <si>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</si>
  <si>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</si>
  <si>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Program Management (hourly)</t>
  </si>
  <si>
    <t>BA Level w/ 3+ years related work experience</t>
  </si>
  <si>
    <t>Program Management (annual)</t>
  </si>
  <si>
    <t>Clinical Manager, Clinical Director</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</si>
  <si>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</si>
  <si>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</si>
  <si>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</si>
  <si>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</si>
  <si>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</si>
  <si>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</si>
  <si>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</si>
  <si>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</si>
  <si>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</si>
  <si>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</si>
  <si>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C.257 Benchmark</t>
  </si>
  <si>
    <t>Cost Adjustment Factor (CAF)</t>
  </si>
  <si>
    <t>Medical Director</t>
  </si>
  <si>
    <t>Physician Assistants</t>
  </si>
  <si>
    <t>Massachusetts Economic Indicators</t>
  </si>
  <si>
    <t>Prepared by Michael Lynch, 781-301-9129</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</si>
  <si>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</si>
  <si>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</si>
  <si>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</si>
  <si>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</si>
  <si>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</si>
  <si>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</si>
  <si>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</si>
  <si>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</si>
  <si>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</si>
  <si>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</si>
  <si>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</si>
  <si>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</si>
  <si>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</si>
  <si>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</si>
  <si>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</si>
  <si>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</si>
  <si>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</si>
  <si>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</si>
  <si>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</si>
  <si>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</si>
  <si>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</si>
  <si>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</si>
  <si>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</si>
  <si>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</si>
  <si>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</si>
  <si>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</si>
  <si>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</si>
  <si>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</si>
  <si>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</si>
  <si>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</si>
  <si>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</si>
  <si>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</si>
  <si>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</si>
  <si>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</si>
  <si>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</si>
  <si>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</si>
  <si>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</si>
  <si>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</si>
  <si>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</si>
  <si>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</si>
  <si>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</si>
  <si>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</si>
  <si>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</si>
  <si>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</si>
  <si>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</si>
  <si>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</si>
  <si>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</si>
  <si>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</si>
  <si>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</si>
  <si>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</si>
  <si>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</si>
  <si>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</si>
  <si>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</si>
  <si>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</si>
  <si>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</si>
  <si>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</si>
  <si>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</si>
  <si>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</si>
  <si>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</si>
  <si>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</si>
  <si>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</si>
  <si>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</si>
  <si>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</si>
  <si>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</si>
  <si>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</si>
  <si>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</si>
  <si>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</si>
  <si>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</si>
  <si>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</si>
  <si>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</si>
  <si>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</si>
  <si>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</si>
  <si>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</si>
  <si>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</si>
  <si>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</si>
  <si>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</si>
  <si>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</si>
  <si>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</si>
  <si>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</si>
  <si>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</si>
  <si>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</si>
  <si>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</si>
  <si>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</si>
  <si>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</si>
  <si>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</si>
  <si>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</si>
  <si>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</si>
  <si>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</si>
  <si>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</si>
  <si>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</si>
  <si>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</si>
  <si>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</si>
  <si>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</si>
  <si>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</si>
  <si>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</si>
  <si>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</si>
  <si>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</si>
  <si>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</si>
  <si>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</si>
  <si>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</si>
  <si>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CAF:</t>
  </si>
  <si>
    <t>Direct Care</t>
  </si>
  <si>
    <t>Direct Care III</t>
  </si>
  <si>
    <t>Source</t>
  </si>
  <si>
    <t>Salary</t>
  </si>
  <si>
    <t>BLS /OES Massachusetts Median 2018</t>
  </si>
  <si>
    <t>Commonwealth FY20 Rate</t>
  </si>
  <si>
    <t>Total Tax &amp; Fringe</t>
  </si>
  <si>
    <t>TOTAL COMPENSATION</t>
  </si>
  <si>
    <t>Hourly Add-on Rates</t>
  </si>
  <si>
    <t>Outreach Engagement
Volunteer Coordinator
Recovery Mentor
Support Staff</t>
  </si>
  <si>
    <t>Recovery Specialist
Recovery Coach</t>
  </si>
  <si>
    <t>Billable Hours</t>
  </si>
  <si>
    <t>Proposed FY21 Rates (per hour)</t>
  </si>
  <si>
    <t>Monthly Rate (1.0 FTE Add-on)</t>
  </si>
  <si>
    <t>Monthly Rate (0.75 FTE Add-on)</t>
  </si>
  <si>
    <t>Monthly Rate (0.50 FTE Add-on)</t>
  </si>
  <si>
    <t>Monthly Rate (0.25 FTE Add-on)</t>
  </si>
  <si>
    <t xml:space="preserve">TEA </t>
  </si>
  <si>
    <t>1.0 FTE Monthly Rate</t>
  </si>
  <si>
    <t>Direct Care Productivity Chart</t>
  </si>
  <si>
    <t>Paid Time Off (PTO)</t>
  </si>
  <si>
    <t>Training (not OJT)</t>
  </si>
  <si>
    <t>The above "add-on's can be used as a Cultural Facilitator and/or "as needed" clinical / clinical type consultation services</t>
  </si>
  <si>
    <t>0.50 FTE</t>
  </si>
  <si>
    <t>N/A</t>
  </si>
  <si>
    <t>0.5 FTE Monthly Rate</t>
  </si>
  <si>
    <t>BLS Occupational Code(s)</t>
  </si>
  <si>
    <t>21-1094, 21-1015, 21-1018, 21-1023, 39-1022</t>
  </si>
  <si>
    <t>21-1021, 21-1099</t>
  </si>
  <si>
    <t>21-1021, 21-1019, 21-1022, 21-1029</t>
  </si>
  <si>
    <t>29-2061</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</si>
  <si>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</si>
  <si>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</si>
  <si>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</si>
  <si>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</si>
  <si>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</si>
  <si>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</si>
  <si>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</si>
  <si>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</si>
  <si>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Therapists</t>
  </si>
  <si>
    <t>Physical Therapist (hourly)</t>
  </si>
  <si>
    <t>Physical Therapists</t>
  </si>
  <si>
    <t>29-1129, 31-2021, 29-1123  (20%/20%/60%)</t>
  </si>
  <si>
    <t>Physical Therapist (annual)</t>
  </si>
  <si>
    <t>Clinical Manager / Psychologists (hourly)</t>
  </si>
  <si>
    <t>19-3033, 19-3034</t>
  </si>
  <si>
    <t>Clinical Manager /  Psychologists  (annual)</t>
  </si>
  <si>
    <t>29-1141</t>
  </si>
  <si>
    <t>29-1171</t>
  </si>
  <si>
    <t xml:space="preserve">Tax and Fringe =  </t>
  </si>
  <si>
    <t xml:space="preserve">Terminal leave, and  retirement.  Does include Paid Family Medical Leave tax.
Includes and additional 2% to be used at providers descretion for retirement and/or other benefits
</t>
  </si>
  <si>
    <t>Misc. BLS benchmarks</t>
  </si>
  <si>
    <t>Food Service I</t>
  </si>
  <si>
    <t>Benchmarked to Direct Care</t>
  </si>
  <si>
    <t>Food Service II</t>
  </si>
  <si>
    <t>Average of benchmarks Direct Care and Direct Care III</t>
  </si>
  <si>
    <t>Food Service III</t>
  </si>
  <si>
    <t>Benchmarked to Direct Care III</t>
  </si>
  <si>
    <t>Maintenence I</t>
  </si>
  <si>
    <t>Maintenence II</t>
  </si>
  <si>
    <t>Maintenence III</t>
  </si>
  <si>
    <t>Recovery Support Centers 
Tier 1</t>
  </si>
  <si>
    <t>Recovery Support Centers 
Tier 2</t>
  </si>
  <si>
    <t>Recovery Support Centers 
Tier 3</t>
  </si>
  <si>
    <t>MASTER SOURCE TABLE</t>
  </si>
  <si>
    <t>Management / Supervisor</t>
  </si>
  <si>
    <t xml:space="preserve">Title </t>
  </si>
  <si>
    <t>Recovery Coach Specialists</t>
  </si>
  <si>
    <t>Taxes and Fringe</t>
  </si>
  <si>
    <t>FY23 Benchmark</t>
  </si>
  <si>
    <t>Direct Service Staff</t>
  </si>
  <si>
    <t>Programmactic Expenses Include</t>
  </si>
  <si>
    <t>Sub-Total Staff Expenses</t>
  </si>
  <si>
    <t>Purchaser Rec (Per month)</t>
  </si>
  <si>
    <t>Staff Training</t>
  </si>
  <si>
    <t>FY22 Wtg AVG Contract Data per FTE</t>
  </si>
  <si>
    <t xml:space="preserve">Total Staffing Costs </t>
  </si>
  <si>
    <t xml:space="preserve">Consultants </t>
  </si>
  <si>
    <t>Purcahser Recommendation (per program)</t>
  </si>
  <si>
    <t>Programmactic Expenses</t>
  </si>
  <si>
    <t>Program Expenses</t>
  </si>
  <si>
    <t xml:space="preserve">FY22 Wtg AVG Contract Data per FTE </t>
  </si>
  <si>
    <t>Client Personal Allowance</t>
  </si>
  <si>
    <t>1000/750/500</t>
  </si>
  <si>
    <t>Purchaser Rec (Per month scaled)</t>
  </si>
  <si>
    <t>Admin. Alloc. (M&amp;G)</t>
  </si>
  <si>
    <t>Chapter 257 Benchmark</t>
  </si>
  <si>
    <t>Total  Amount</t>
  </si>
  <si>
    <t>Base FY22 Proj Period CY23 &amp; CY24</t>
  </si>
  <si>
    <t>Total Program Expense</t>
  </si>
  <si>
    <t>Total Monthly Rate</t>
  </si>
  <si>
    <t>New Rates</t>
  </si>
  <si>
    <t>53 Percentile</t>
  </si>
  <si>
    <t>Change</t>
  </si>
  <si>
    <t>Direct Care, Direct Care Blend, Non Specialized DC, Peer mentor, Family Specialist/ Partner</t>
  </si>
  <si>
    <t xml:space="preserve">
21-1093, 31-1120, 31-2022, 31-9099</t>
  </si>
  <si>
    <t>Developmental Specialist,  Triage Specialist, Medical Assistant</t>
  </si>
  <si>
    <t xml:space="preserve"> 31-1131</t>
  </si>
  <si>
    <t>Assistant Manager</t>
  </si>
  <si>
    <t>Occupational Therapist (hourly) *</t>
  </si>
  <si>
    <t xml:space="preserve">
29-1129, 31-2011, 29-1122 (25%/25%/50%)</t>
  </si>
  <si>
    <t>Occupational Therapist (annual) *</t>
  </si>
  <si>
    <t>Speech Language Pathologists (hourly) *</t>
  </si>
  <si>
    <t xml:space="preserve">
29-1129, 29-1127</t>
  </si>
  <si>
    <t>Speech Language Pathologists (annual) *</t>
  </si>
  <si>
    <t xml:space="preserve">Benchmarked to FY25 (proposed)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</si>
  <si>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</si>
  <si>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</si>
  <si>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</si>
  <si>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</si>
  <si>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M2022 BLS  Occ Code 37-0000</t>
  </si>
  <si>
    <t>M2022 BLS  Occ Code 49-9099</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</si>
  <si>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</si>
  <si>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</si>
  <si>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</si>
  <si>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</si>
  <si>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</si>
  <si>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</si>
  <si>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Spring 2024</t>
  </si>
  <si>
    <t>FY26</t>
  </si>
  <si>
    <t>FY27</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</si>
  <si>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</si>
  <si>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</si>
  <si>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</si>
  <si>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</si>
  <si>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</si>
  <si>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</si>
  <si>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</si>
  <si>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</si>
  <si>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</si>
  <si>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</si>
  <si>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</si>
  <si>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</si>
  <si>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</si>
  <si>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</si>
  <si>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</si>
  <si>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</si>
  <si>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</si>
  <si>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</si>
  <si>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</si>
  <si>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</si>
  <si>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Assumption for new rates that are to be promulgated January 1, 2025</t>
  </si>
  <si>
    <t>OPTIMISTIC SCENARIO</t>
  </si>
  <si>
    <t xml:space="preserve">FY25 </t>
  </si>
  <si>
    <t>January 1, 2025- December 31, 2027</t>
  </si>
  <si>
    <t>BASELINE SCENARIO</t>
  </si>
  <si>
    <t>Current</t>
  </si>
  <si>
    <t>CURRENT</t>
  </si>
  <si>
    <t>PROPOSE</t>
  </si>
  <si>
    <r>
      <t>Benchmark Salaries</t>
    </r>
    <r>
      <rPr>
        <b/>
        <sz val="9"/>
        <color indexed="10"/>
        <rFont val="Calibri"/>
        <family val="2"/>
      </rPr>
      <t xml:space="preserve"> </t>
    </r>
  </si>
  <si>
    <t>Comments</t>
  </si>
  <si>
    <t>Medical - MD</t>
  </si>
  <si>
    <t>Nurse Manager</t>
  </si>
  <si>
    <t>Nursing Non-Master's</t>
  </si>
  <si>
    <t>Clinical  (LICSW)</t>
  </si>
  <si>
    <t>Clinician (MA Level)</t>
  </si>
  <si>
    <t>Recovery Coach</t>
  </si>
  <si>
    <t>Recovery specialist</t>
  </si>
  <si>
    <t>BLS /OES Massachusetts 53rd Percentile 2023</t>
  </si>
  <si>
    <t>CAF rate review FY25</t>
  </si>
  <si>
    <t>Prospective Period: 1/1/25 - 12/31/26</t>
  </si>
  <si>
    <t>January 1, 2025- December 31, 2026</t>
  </si>
  <si>
    <t>average pre-exclusions</t>
  </si>
  <si>
    <t>floor</t>
  </si>
  <si>
    <r>
      <t xml:space="preserve">Outliers, average, and weighted average are calculated from </t>
    </r>
    <r>
      <rPr>
        <i/>
        <sz val="11"/>
        <color indexed="10"/>
        <rFont val="Calibri"/>
        <family val="2"/>
      </rPr>
      <t>only those reporting expense in this category</t>
    </r>
    <r>
      <rPr>
        <sz val="11"/>
        <color indexed="10"/>
        <rFont val="Calibri"/>
        <family val="2"/>
      </rPr>
      <t xml:space="preserve">. No zero values are incorporated in these calculations. </t>
    </r>
  </si>
  <si>
    <t>ceiling</t>
  </si>
  <si>
    <t>average</t>
  </si>
  <si>
    <t>weighted average</t>
  </si>
  <si>
    <t>average incl. zeroes</t>
  </si>
  <si>
    <t>OrganizationName</t>
  </si>
  <si>
    <t>Sum of FTE</t>
  </si>
  <si>
    <t>Advocates, Inc.</t>
  </si>
  <si>
    <t>Bay State Community Services, Inc.</t>
  </si>
  <si>
    <t>Bridgewell</t>
  </si>
  <si>
    <t>Clinical &amp; Support Options Inc.</t>
  </si>
  <si>
    <t>Community Counseling of Bristol County, Inc.</t>
  </si>
  <si>
    <t>Eliot Community Human Services, Inc.</t>
  </si>
  <si>
    <t>High Point Treatment Center, Inc.</t>
  </si>
  <si>
    <t>Justice Resource Institute, Inc.</t>
  </si>
  <si>
    <t>Mass Association of Portuguese Speakers, Inc. dba MAPS</t>
  </si>
  <si>
    <t>Mental Health Association, Inc.</t>
  </si>
  <si>
    <t>NFI Massachusetts, Inc</t>
  </si>
  <si>
    <t>Northeast Behavioral Health</t>
  </si>
  <si>
    <t>Riverside Community Care Inc.</t>
  </si>
  <si>
    <t>Spectrum Health Systems, Inc.</t>
  </si>
  <si>
    <t>Stanley Street Treatment and Resources, Inc.</t>
  </si>
  <si>
    <t>The Brien Center for Mental Health and 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</si>
  <si>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</si>
  <si>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</si>
  <si>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</si>
  <si>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</si>
  <si>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</si>
  <si>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</si>
  <si>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</si>
  <si>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</si>
  <si>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</si>
  <si>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</si>
  <si>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</si>
  <si>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</si>
  <si>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</si>
  <si>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</si>
  <si>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</si>
  <si>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</si>
  <si>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</si>
  <si>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</si>
  <si>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</si>
  <si>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</si>
  <si>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</si>
  <si>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</si>
  <si>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</si>
  <si>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</si>
  <si>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</si>
  <si>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</si>
  <si>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</si>
  <si>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</si>
  <si>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</si>
  <si>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</si>
  <si>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</si>
  <si>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</si>
  <si>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</si>
  <si>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</si>
  <si>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</si>
  <si>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</si>
  <si>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</si>
  <si>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</si>
  <si>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</si>
  <si>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</si>
  <si>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Sum of Actual</t>
  </si>
  <si>
    <t>Addiction Treatment Center of New England,Inc.</t>
  </si>
  <si>
    <t>Bay Cove Human Services, Inc.</t>
  </si>
  <si>
    <t>BEHAVIORAL HEALTH NETWORK</t>
  </si>
  <si>
    <t>Bridge Over Troubled Waters, Inc.</t>
  </si>
  <si>
    <t>Casa Esperanza, Inc.</t>
  </si>
  <si>
    <t>Center for Human Development</t>
  </si>
  <si>
    <t>Communities For People, Inc.</t>
  </si>
  <si>
    <t>Fenway Community Health Center, Inc.</t>
  </si>
  <si>
    <t>Gavin Foundation, Inc.</t>
  </si>
  <si>
    <t>Gosnold, Inc.</t>
  </si>
  <si>
    <t>Institute for Health and Recovery</t>
  </si>
  <si>
    <t>Martha's Vineyard Community Services, Inc.</t>
  </si>
  <si>
    <t>Mothers for Justice and Equality</t>
  </si>
  <si>
    <t>North Charles Mental Health Research &amp; Training Foundation, Inc.</t>
  </si>
  <si>
    <t>North Suffolk Community Services Inc.</t>
  </si>
  <si>
    <t>Partners HealthCare System, Inc.</t>
  </si>
  <si>
    <t>South Middlesex Opportunity Council, Inc.</t>
  </si>
  <si>
    <t>Steppingstone, Inc.</t>
  </si>
  <si>
    <t>% diff</t>
  </si>
  <si>
    <t>`</t>
  </si>
  <si>
    <t>Clinical (LICSW)</t>
  </si>
  <si>
    <t>Total Compensation</t>
  </si>
  <si>
    <t>Total Reimb excl M&amp;G</t>
  </si>
  <si>
    <t>Total</t>
  </si>
  <si>
    <t>Current Rate</t>
  </si>
  <si>
    <t>Proposed Rate</t>
  </si>
  <si>
    <t>% Increase</t>
  </si>
  <si>
    <t>30 minute rate</t>
  </si>
  <si>
    <t>15 min rate</t>
  </si>
  <si>
    <t>45 min rate</t>
  </si>
  <si>
    <t>current</t>
  </si>
  <si>
    <t>Case / Social Worker</t>
  </si>
  <si>
    <t>Salaries</t>
  </si>
  <si>
    <t xml:space="preserve">Direct Care   </t>
  </si>
  <si>
    <t>Climical (MA Level)</t>
  </si>
  <si>
    <t xml:space="preserve">Direct Care  </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</si>
  <si>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</si>
  <si>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ServiceNet, Inc.</t>
  </si>
  <si>
    <t>Western Mass. Training Consortium</t>
  </si>
  <si>
    <t>Comprehensive community support services Peer Rec Coaching</t>
  </si>
  <si>
    <r>
      <t xml:space="preserve">Clerical, Support &amp; Direct Care Relief Staff are benched to Direct Care </t>
    </r>
    <r>
      <rPr>
        <b/>
        <i/>
        <sz val="11"/>
        <color indexed="8"/>
        <rFont val="Calibri"/>
        <family val="2"/>
      </rPr>
      <t>**</t>
    </r>
  </si>
  <si>
    <t>FY25 Benchmark</t>
  </si>
  <si>
    <t xml:space="preserve">            MASTER SOURCE TABLE</t>
  </si>
  <si>
    <t xml:space="preserve">Direct Care </t>
  </si>
  <si>
    <t>Base FY25 Proj Period FY25 &amp; FY25</t>
  </si>
  <si>
    <t>UFR FY23 LOWER</t>
  </si>
  <si>
    <t>Total Occupancy
per FTE</t>
  </si>
  <si>
    <t/>
  </si>
  <si>
    <t>Staff Training 204
per FTE</t>
  </si>
  <si>
    <t>Other Expense
per FTE</t>
  </si>
  <si>
    <t xml:space="preserve">Purchaser Rec (Per month scaled) </t>
  </si>
  <si>
    <t>Case Management</t>
  </si>
  <si>
    <t>Telephone Rec</t>
  </si>
  <si>
    <t>Psycho. Ed</t>
  </si>
  <si>
    <t>Day Treatments</t>
  </si>
  <si>
    <t>RSC Models</t>
  </si>
  <si>
    <t>RSC Staff Add on Rates</t>
  </si>
  <si>
    <t xml:space="preserve">Proposed rate </t>
  </si>
  <si>
    <t>Current rate</t>
  </si>
  <si>
    <t>Comprehensive Community Support - Peer Recovery Coaching</t>
  </si>
  <si>
    <t>FY23 UFR Data  weighted Avg</t>
  </si>
  <si>
    <t xml:space="preserve">Program </t>
  </si>
  <si>
    <t>H0005 - HD, H0005-H9</t>
  </si>
  <si>
    <t>H0005-HD,H005-H9</t>
  </si>
  <si>
    <t>H0006-HD,HN</t>
  </si>
  <si>
    <t>Code in Regualtion</t>
  </si>
  <si>
    <t>H1005, -HQ, H2012-HF</t>
  </si>
  <si>
    <t>Direct Care III / Rec Coach</t>
  </si>
  <si>
    <t xml:space="preserve">FY23 Wtg AVG </t>
  </si>
  <si>
    <t>Outreach Engagement
Volunteer Coordinator
Recovery Mentor
Support Staff (DC III)</t>
  </si>
  <si>
    <t>Recovery Specialist / Coach (Direct Care III)</t>
  </si>
  <si>
    <t>H0005-TH HG</t>
  </si>
  <si>
    <t>28 billable hours in 40-hr work week</t>
  </si>
  <si>
    <t>hours out</t>
  </si>
  <si>
    <t>weeks</t>
  </si>
  <si>
    <t>billable hours per 40-hr work week</t>
  </si>
  <si>
    <t>yearly hours after PTO and training</t>
  </si>
  <si>
    <t>total hours (assumes 40-hr work week)</t>
  </si>
  <si>
    <t>From current productivity assumptions</t>
  </si>
  <si>
    <t>weeks after PTO and training</t>
  </si>
  <si>
    <t>S&amp;P Global Market Intelligence, Fall 2024</t>
  </si>
  <si>
    <t>FY26Q1</t>
  </si>
  <si>
    <t>FY26Q2</t>
  </si>
  <si>
    <t>FY26Q3</t>
  </si>
  <si>
    <t>FY26Q4</t>
  </si>
  <si>
    <t>FY27Q1</t>
  </si>
  <si>
    <t>FY27Q2</t>
  </si>
  <si>
    <t>FY27Q3</t>
  </si>
  <si>
    <t>FY27Q4</t>
  </si>
  <si>
    <t>Rate-to-rate CAF</t>
  </si>
  <si>
    <t>Assumption for Rate Reviews that are to be promulgated July 1, 2025</t>
  </si>
  <si>
    <t>FY25Q4</t>
  </si>
  <si>
    <t>OPT</t>
  </si>
  <si>
    <t>July 1, 2025 - June 30, 2027</t>
  </si>
  <si>
    <t>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</si>
</sst>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
    <numFmt numFmtId="167" formatCode="0.0"/>
    <numFmt numFmtId="168" formatCode="&quot;$&quot;#,##0.00"/>
    <numFmt numFmtId="169" formatCode="_(&quot;$&quot;* #,##0.00_);_(&quot;$&quot;* \(#,##0.00\);_(&quot;$&quot;* &quot;-&quot;_);_(@_)"/>
    <numFmt numFmtId="170" formatCode="_(* #,##0_);_(* \(#,##0\);_(* &quot;-&quot;??_);_(@_)"/>
    <numFmt numFmtId="171" formatCode="0.0000"/>
    <numFmt numFmtId="172" formatCode="_(&quot;$&quot;* #,##0.0000_);_(&quot;$&quot;* \(#,##0.0000\);_(&quot;$&quot;* &quot;-&quot;??_);_(@_)"/>
    <numFmt numFmtId="173" formatCode="[$-409]mmmm\ d\,\ yyyy;@"/>
    <numFmt numFmtId="174" formatCode="0.000"/>
    <numFmt numFmtId="175" formatCode="_(&quot;$&quot;* #,##0.000_);_(&quot;$&quot;* \(#,##0.000\);_(&quot;$&quot;* &quot;-&quot;??_);_(@_)"/>
    <numFmt numFmtId="176" formatCode="_(&quot;$&quot;* #,##0.0_);_(&quot;$&quot;* \(#,##0.0\);_(&quot;$&quot;* &quot;-&quot;??_);_(@_)"/>
    <numFmt numFmtId="177" formatCode="\$#,##0.00"/>
  </numFmts>
  <fonts count="115" x14ac:knownFonts="1">
    <font>
      <sz val="11"/>
      <color theme="1"/>
      <name val="Calibri"/>
      <family val="2"/>
      <scheme val="minor"/>
    </font>
    <font>
      <b/>
      <sz val="10"/>
      <color indexed="8"/>
      <name val="Times New Roman"/>
      <family val="1"/>
    </font>
    <font>
      <sz val="10"/>
      <name val="Times New Roman"/>
      <family val="1"/>
    </font>
    <font>
      <sz val="10"/>
      <color indexed="8"/>
      <name val="Times New Roman"/>
      <family val="1"/>
    </font>
    <font>
      <b/>
      <sz val="10"/>
      <color indexed="8"/>
      <name val="Arial"/>
      <family val="2"/>
    </font>
    <font>
      <b/>
      <sz val="10"/>
      <name val="Times New Roman"/>
      <family val="1"/>
    </font>
    <font>
      <b/>
      <sz val="10"/>
      <name val="Arial"/>
      <family val="2"/>
    </font>
    <font>
      <sz val="10"/>
      <color indexed="8"/>
      <name val="Arial"/>
      <family val="2"/>
    </font>
    <font>
      <b/>
      <sz val="9"/>
      <name val="Times New Roman"/>
      <family val="1"/>
    </font>
    <font>
      <sz val="10"/>
      <name val="Arial"/>
      <family val="2"/>
    </font>
    <font>
      <b/>
      <i/>
      <u/>
      <sz val="10"/>
      <name val="Arial"/>
      <family val="2"/>
    </font>
    <font>
      <i/>
      <sz val="10"/>
      <name val="Arial"/>
      <family val="2"/>
    </font>
    <font>
      <b/>
      <i/>
      <sz val="10"/>
      <name val="Arial"/>
      <family val="2"/>
    </font>
    <font>
      <sz val="10"/>
      <name val="Arial"/>
      <family val="2"/>
    </font>
    <font>
      <b/>
      <sz val="14"/>
      <name val="Arial"/>
      <family val="2"/>
    </font>
    <font>
      <b/>
      <sz val="12"/>
      <name val="Arial"/>
      <family val="2"/>
    </font>
    <font>
      <b/>
      <sz val="11"/>
      <name val="Arial"/>
      <family val="2"/>
    </font>
    <font>
      <b/>
      <u/>
      <sz val="10"/>
      <name val="Arial"/>
      <family val="2"/>
    </font>
    <font>
      <b/>
      <sz val="11"/>
      <name val="Calibri"/>
      <family val="2"/>
    </font>
    <font>
      <i/>
      <sz val="9"/>
      <name val="Calibri"/>
      <family val="2"/>
    </font>
    <font>
      <sz val="11"/>
      <color indexed="8"/>
      <name val="Calibri"/>
      <family val="2"/>
    </font>
    <font>
      <sz val="10"/>
      <name val="Verdana"/>
      <family val="2"/>
    </font>
    <font>
      <b/>
      <sz val="9"/>
      <color indexed="81"/>
      <name val="Tahoma"/>
      <family val="2"/>
    </font>
    <font>
      <sz val="9"/>
      <color indexed="81"/>
      <name val="Tahoma"/>
      <family val="2"/>
    </font>
    <font>
      <sz val="11"/>
      <color indexed="10"/>
      <name val="Calibri"/>
      <family val="2"/>
    </font>
    <font>
      <i/>
      <sz val="11"/>
      <color indexed="10"/>
      <name val="Calibri"/>
      <family val="2"/>
    </font>
    <font>
      <b/>
      <sz val="12"/>
      <color indexed="81"/>
      <name val="Tahoma"/>
      <family val="2"/>
    </font>
    <font>
      <sz val="10"/>
      <color indexed="81"/>
      <name val="Tahoma"/>
      <family val="2"/>
    </font>
    <font>
      <b/>
      <sz val="9"/>
      <color indexed="10"/>
      <name val="Calibri"/>
      <family val="2"/>
    </font>
    <font>
      <sz val="9"/>
      <name val="Arial"/>
      <family val="2"/>
    </font>
    <font>
      <sz val="11"/>
      <name val="Arial"/>
      <family val="2"/>
    </font>
    <font>
      <sz val="8"/>
      <name val="Calibri"/>
      <family val="2"/>
    </font>
    <font>
      <sz val="9"/>
      <name val="Times New Roman"/>
      <family val="1"/>
    </font>
    <font>
      <sz val="11"/>
      <color theme="1"/>
      <name val="Calibri"/>
      <family val="2"/>
      <scheme val="minor"/>
    </font>
    <font>
      <sz val="10"/>
      <color rgb="FF000000"/>
      <name val="Times New Roman"/>
      <family val="1"/>
    </font>
    <font>
      <sz val="11"/>
      <color theme="1"/>
      <name val="Calibri"/>
      <family val="2"/>
    </font>
    <font>
      <sz val="10"/>
      <color theme="1"/>
      <name val="Arial"/>
      <family val="2"/>
    </font>
    <font>
      <b/>
      <sz val="11"/>
      <color theme="1"/>
      <name val="Calibri"/>
      <family val="2"/>
      <scheme val="minor"/>
    </font>
    <font>
      <sz val="11"/>
      <color rgb="FFFF0000"/>
      <name val="Calibri"/>
      <family val="2"/>
      <scheme val="minor"/>
    </font>
    <font>
      <sz val="10"/>
      <color theme="1"/>
      <name val="Times New Roman"/>
      <family val="1"/>
    </font>
    <font>
      <b/>
      <sz val="10"/>
      <color rgb="FF0070C0"/>
      <name val="Times New Roman"/>
      <family val="1"/>
    </font>
    <font>
      <b/>
      <sz val="10"/>
      <color rgb="FFC00000"/>
      <name val="Times New Roman"/>
      <family val="1"/>
    </font>
    <font>
      <b/>
      <sz val="9"/>
      <color theme="1"/>
      <name val="Arial"/>
      <family val="2"/>
    </font>
    <font>
      <i/>
      <sz val="10"/>
      <color theme="1"/>
      <name val="Arial"/>
      <family val="2"/>
    </font>
    <font>
      <b/>
      <sz val="10"/>
      <color rgb="FF0070C0"/>
      <name val="Arial"/>
      <family val="2"/>
    </font>
    <font>
      <b/>
      <sz val="10"/>
      <color theme="1"/>
      <name val="Arial"/>
      <family val="2"/>
    </font>
    <font>
      <b/>
      <sz val="10"/>
      <color theme="1"/>
      <name val="Times New Roman"/>
      <family val="1"/>
    </font>
    <font>
      <b/>
      <sz val="10"/>
      <color rgb="FF000000"/>
      <name val="Arial"/>
      <family val="2"/>
    </font>
    <font>
      <b/>
      <sz val="10"/>
      <color rgb="FFFF0000"/>
      <name val="Times New Roman"/>
      <family val="1"/>
    </font>
    <font>
      <b/>
      <sz val="10"/>
      <name val="Calibri"/>
      <family val="2"/>
      <scheme val="minor"/>
    </font>
    <font>
      <sz val="10"/>
      <name val="Calibri"/>
      <family val="2"/>
      <scheme val="minor"/>
    </font>
    <font>
      <sz val="10"/>
      <color theme="1"/>
      <name val="Calibri"/>
      <family val="2"/>
      <scheme val="minor"/>
    </font>
    <font>
      <b/>
      <sz val="10"/>
      <color rgb="FFFF0000"/>
      <name val="Arial"/>
      <family val="2"/>
    </font>
    <font>
      <sz val="10"/>
      <color rgb="FFFF0000"/>
      <name val="Arial"/>
      <family val="2"/>
    </font>
    <font>
      <sz val="11"/>
      <name val="Calibri"/>
      <family val="2"/>
      <scheme val="minor"/>
    </font>
    <font>
      <b/>
      <sz val="11"/>
      <name val="Calibri"/>
      <family val="2"/>
      <scheme val="minor"/>
    </font>
    <font>
      <b/>
      <sz val="14"/>
      <color rgb="FF7030A0"/>
      <name val="Calibri"/>
      <family val="2"/>
    </font>
    <font>
      <b/>
      <sz val="11"/>
      <color rgb="FF7030A0"/>
      <name val="Calibri"/>
      <family val="2"/>
    </font>
    <font>
      <i/>
      <sz val="11"/>
      <name val="Calibri"/>
      <family val="2"/>
      <scheme val="minor"/>
    </font>
    <font>
      <i/>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sz val="9"/>
      <color theme="1"/>
      <name val="Calibri"/>
      <family val="2"/>
      <scheme val="minor"/>
    </font>
    <font>
      <b/>
      <sz val="12"/>
      <color theme="1"/>
      <name val="Calibri"/>
      <family val="2"/>
      <scheme val="minor"/>
    </font>
    <font>
      <sz val="12"/>
      <color rgb="FF000000"/>
      <name val="Calibri"/>
      <family val="2"/>
      <scheme val="minor"/>
    </font>
    <font>
      <b/>
      <sz val="11"/>
      <color rgb="FF000000"/>
      <name val="Times New Roman"/>
      <family val="1"/>
    </font>
    <font>
      <b/>
      <sz val="12"/>
      <color rgb="FF000000"/>
      <name val="Times New Roman"/>
      <family val="1"/>
    </font>
    <font>
      <b/>
      <sz val="12"/>
      <color theme="1"/>
      <name val="Times New Roman"/>
      <family val="1"/>
    </font>
    <font>
      <sz val="11"/>
      <color rgb="FF000000"/>
      <name val="Times New Roman"/>
      <family val="1"/>
    </font>
    <font>
      <b/>
      <i/>
      <sz val="11"/>
      <color theme="1"/>
      <name val="Calibri"/>
      <family val="2"/>
      <scheme val="minor"/>
    </font>
    <font>
      <sz val="11"/>
      <color theme="1"/>
      <name val="Times New Roman"/>
      <family val="1"/>
    </font>
    <font>
      <i/>
      <sz val="11"/>
      <color rgb="FFFF0000"/>
      <name val="Calibri"/>
      <family val="2"/>
      <scheme val="minor"/>
    </font>
    <font>
      <b/>
      <sz val="9"/>
      <color indexed="8"/>
      <name val="Calibri"/>
      <family val="2"/>
      <scheme val="minor"/>
    </font>
    <font>
      <sz val="9"/>
      <color indexed="8"/>
      <name val="Calibri"/>
      <family val="2"/>
      <scheme val="minor"/>
    </font>
    <font>
      <b/>
      <sz val="9"/>
      <name val="Calibri"/>
      <family val="2"/>
      <scheme val="minor"/>
    </font>
    <font>
      <sz val="9"/>
      <name val="Calibri"/>
      <family val="2"/>
      <scheme val="minor"/>
    </font>
    <font>
      <b/>
      <sz val="9"/>
      <color theme="1"/>
      <name val="Calibri"/>
      <family val="2"/>
      <scheme val="minor"/>
    </font>
    <font>
      <sz val="9"/>
      <color theme="1"/>
      <name val="Calibri"/>
      <family val="2"/>
    </font>
    <font>
      <b/>
      <sz val="8"/>
      <name val="Calibri"/>
      <family val="2"/>
      <scheme val="minor"/>
    </font>
    <font>
      <b/>
      <sz val="10"/>
      <color theme="1"/>
      <name val="Calibri"/>
      <family val="2"/>
      <scheme val="minor"/>
    </font>
    <font>
      <sz val="10"/>
      <color rgb="FFFF0000"/>
      <name val="Calibri"/>
      <family val="2"/>
      <scheme val="minor"/>
    </font>
    <font>
      <i/>
      <sz val="10"/>
      <name val="Calibri"/>
      <family val="2"/>
      <scheme val="minor"/>
    </font>
    <font>
      <b/>
      <u/>
      <sz val="9"/>
      <color indexed="8"/>
      <name val="Calibri"/>
      <family val="2"/>
      <scheme val="minor"/>
    </font>
    <font>
      <b/>
      <i/>
      <u/>
      <sz val="10"/>
      <name val="Calibri"/>
      <family val="2"/>
      <scheme val="minor"/>
    </font>
    <font>
      <b/>
      <i/>
      <u/>
      <sz val="10"/>
      <color theme="1"/>
      <name val="Calibri"/>
      <family val="2"/>
      <scheme val="minor"/>
    </font>
    <font>
      <b/>
      <sz val="11"/>
      <color rgb="FFFF0000"/>
      <name val="Calibri"/>
      <family val="2"/>
      <scheme val="minor"/>
    </font>
    <font>
      <b/>
      <i/>
      <sz val="11"/>
      <color indexed="8"/>
      <name val="Calibri"/>
      <family val="2"/>
    </font>
    <font>
      <b/>
      <i/>
      <sz val="14"/>
      <color theme="0"/>
      <name val="Times New Roman"/>
      <family val="1"/>
    </font>
    <font>
      <b/>
      <sz val="14"/>
      <color theme="0"/>
      <name val="Times New Roman"/>
      <family val="1"/>
    </font>
    <font>
      <b/>
      <sz val="11"/>
      <color theme="1"/>
      <name val="Times New Roman"/>
      <family val="1"/>
    </font>
    <font>
      <b/>
      <i/>
      <sz val="11"/>
      <color theme="1"/>
      <name val="Times New Roman"/>
      <family val="1"/>
    </font>
    <font>
      <i/>
      <sz val="11"/>
      <color theme="1"/>
      <name val="Times New Roman"/>
      <family val="1"/>
    </font>
    <font>
      <b/>
      <i/>
      <sz val="11"/>
      <name val="Times New Roman"/>
      <family val="1"/>
    </font>
    <font>
      <i/>
      <sz val="11"/>
      <color rgb="FFFF0000"/>
      <name val="Times New Roman"/>
      <family val="1"/>
    </font>
    <font>
      <b/>
      <sz val="11"/>
      <name val="Times New Roman"/>
      <family val="1"/>
    </font>
    <font>
      <sz val="10"/>
      <color rgb="FF000000"/>
      <name val="Calibri"/>
      <family val="2"/>
      <scheme val="minor"/>
    </font>
    <font>
      <i/>
      <u/>
      <sz val="11"/>
      <name val="Calibri"/>
      <family val="2"/>
      <scheme val="minor"/>
    </font>
    <font>
      <i/>
      <u/>
      <sz val="11"/>
      <color theme="1"/>
      <name val="Calibri"/>
      <family val="2"/>
      <scheme val="minor"/>
    </font>
    <font>
      <i/>
      <sz val="11"/>
      <name val="Arial"/>
      <family val="2"/>
    </font>
    <font>
      <sz val="11"/>
      <color rgb="FF000000"/>
      <name val="Calibri"/>
      <family val="2"/>
      <scheme val="minor"/>
    </font>
    <font>
      <sz val="10"/>
      <color rgb="FFFF0000"/>
      <name val="Times New Roman"/>
      <family val="1"/>
    </font>
    <font>
      <b/>
      <sz val="10"/>
      <color rgb="FF000000"/>
      <name val="Calibri"/>
      <family val="2"/>
      <scheme val="minor"/>
    </font>
    <font>
      <b/>
      <i/>
      <sz val="10"/>
      <color theme="0"/>
      <name val="Calibri"/>
      <family val="2"/>
      <scheme val="minor"/>
    </font>
    <font>
      <b/>
      <sz val="10"/>
      <color theme="0"/>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color rgb="FFFF0000"/>
      <name val="Calibri"/>
      <family val="2"/>
      <scheme val="minor"/>
    </font>
    <font>
      <b/>
      <sz val="12"/>
      <color rgb="FFFF0000"/>
      <name val="Times New Roman"/>
      <family val="1"/>
    </font>
    <font>
      <sz val="10"/>
      <color rgb="FF00B050"/>
      <name val="Arial"/>
      <family val="2"/>
    </font>
    <font>
      <sz val="11"/>
      <color rgb="FF00B050"/>
      <name val="Calibri"/>
      <family val="2"/>
      <scheme val="minor"/>
    </font>
    <font>
      <b/>
      <sz val="11"/>
      <color rgb="FF00B050"/>
      <name val="Calibri"/>
      <family val="2"/>
      <scheme val="minor"/>
    </font>
    <font>
      <b/>
      <sz val="10"/>
      <color rgb="FF00B050"/>
      <name val="Calibri"/>
      <family val="2"/>
      <scheme val="minor"/>
    </font>
    <font>
      <sz val="10"/>
      <color rgb="FF00B050"/>
      <name val="Times New Roman"/>
      <family val="1"/>
    </font>
  </fonts>
  <fills count="2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bgColor indexed="64"/>
      </patternFill>
    </fill>
    <fill>
      <patternFill patternType="solid">
        <fgColor theme="3"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2"/>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249977111117893"/>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5"/>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rgb="FF999999"/>
      </left>
      <right/>
      <top/>
      <bottom/>
      <diagonal/>
    </border>
    <border>
      <left style="thin">
        <color rgb="FF999999"/>
      </left>
      <right/>
      <top style="thin">
        <color rgb="FF999999"/>
      </top>
      <bottom/>
      <diagonal/>
    </border>
    <border>
      <left/>
      <right/>
      <top style="thin">
        <color rgb="FF999999"/>
      </top>
      <bottom/>
      <diagonal/>
    </border>
    <border>
      <left style="thin">
        <color rgb="FF999999"/>
      </left>
      <right/>
      <top style="thin">
        <color indexed="9"/>
      </top>
      <bottom/>
      <diagonal/>
    </border>
    <border>
      <left style="thin">
        <color rgb="FF999999"/>
      </left>
      <right/>
      <top style="thin">
        <color indexed="65"/>
      </top>
      <bottom/>
      <diagonal/>
    </border>
    <border>
      <left style="medium">
        <color indexed="64"/>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s>
  <cellStyleXfs count="44">
    <xf numFmtId="0" fontId="0" fillId="0" borderId="0"/>
    <xf numFmtId="43" fontId="33"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20" fillId="0" borderId="0" applyFont="0" applyFill="0" applyBorder="0" applyAlignment="0" applyProtection="0"/>
    <xf numFmtId="44" fontId="30"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0" fontId="35" fillId="0" borderId="0"/>
    <xf numFmtId="0" fontId="33" fillId="0" borderId="0"/>
    <xf numFmtId="0" fontId="9" fillId="0" borderId="0"/>
    <xf numFmtId="0" fontId="34" fillId="0" borderId="0"/>
    <xf numFmtId="0" fontId="9" fillId="0" borderId="0"/>
    <xf numFmtId="3" fontId="9" fillId="0" borderId="0">
      <alignment horizontal="left" vertical="top" wrapText="1"/>
    </xf>
    <xf numFmtId="0" fontId="13" fillId="0" borderId="0"/>
    <xf numFmtId="0" fontId="21" fillId="0" borderId="0"/>
    <xf numFmtId="0" fontId="33" fillId="0" borderId="0"/>
    <xf numFmtId="0" fontId="36" fillId="0" borderId="0">
      <alignment horizontal="left" vertical="center" wrapText="1"/>
    </xf>
    <xf numFmtId="0" fontId="36" fillId="0" borderId="0">
      <alignment horizontal="left" vertical="center" wrapText="1"/>
    </xf>
    <xf numFmtId="0" fontId="33" fillId="0" borderId="0"/>
    <xf numFmtId="0" fontId="33" fillId="0" borderId="0"/>
    <xf numFmtId="0" fontId="9" fillId="0" borderId="0"/>
    <xf numFmtId="0" fontId="33" fillId="0" borderId="0"/>
    <xf numFmtId="0" fontId="33" fillId="0" borderId="0"/>
    <xf numFmtId="9" fontId="33"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36"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cellStyleXfs>
  <cellXfs count="949">
    <xf numFmtId="0" fontId="0" fillId="0" borderId="0" xfId="0"/>
    <xf numFmtId="0" fontId="39" fillId="0" borderId="0" xfId="0" applyFont="1"/>
    <xf numFmtId="14" fontId="39" fillId="0" borderId="0" xfId="0" applyNumberFormat="1" applyFont="1"/>
    <xf numFmtId="0" fontId="40" fillId="0" borderId="1" xfId="0" applyFont="1" applyBorder="1" applyAlignment="1">
      <alignment horizontal="center"/>
    </xf>
    <xf numFmtId="1" fontId="1" fillId="0" borderId="2" xfId="22" applyNumberFormat="1" applyFont="1" applyBorder="1"/>
    <xf numFmtId="0" fontId="1" fillId="0" borderId="2" xfId="22" applyFont="1" applyBorder="1" applyAlignment="1">
      <alignment horizontal="right"/>
    </xf>
    <xf numFmtId="3" fontId="1" fillId="0" borderId="3" xfId="22" applyNumberFormat="1" applyFont="1" applyBorder="1" applyAlignment="1">
      <alignment horizontal="center"/>
    </xf>
    <xf numFmtId="0" fontId="1" fillId="0" borderId="4" xfId="22" applyFont="1" applyBorder="1"/>
    <xf numFmtId="0" fontId="1" fillId="0" borderId="5" xfId="22" applyFont="1" applyBorder="1" applyAlignment="1">
      <alignment horizontal="center"/>
    </xf>
    <xf numFmtId="0" fontId="1" fillId="0" borderId="6" xfId="22" applyFont="1" applyBorder="1" applyAlignment="1">
      <alignment horizontal="center"/>
    </xf>
    <xf numFmtId="0" fontId="2" fillId="0" borderId="7" xfId="22" applyFont="1" applyBorder="1"/>
    <xf numFmtId="164" fontId="3" fillId="0" borderId="0" xfId="22" applyNumberFormat="1" applyFont="1"/>
    <xf numFmtId="2" fontId="39" fillId="0" borderId="0" xfId="0" applyNumberFormat="1" applyFont="1"/>
    <xf numFmtId="165" fontId="3" fillId="0" borderId="8" xfId="6" applyNumberFormat="1" applyFont="1" applyBorder="1" applyAlignment="1">
      <alignment horizontal="right"/>
    </xf>
    <xf numFmtId="2" fontId="3" fillId="0" borderId="0" xfId="22" applyNumberFormat="1" applyFont="1"/>
    <xf numFmtId="164" fontId="3" fillId="0" borderId="0" xfId="22" applyNumberFormat="1" applyFont="1" applyAlignment="1">
      <alignment horizontal="right"/>
    </xf>
    <xf numFmtId="0" fontId="2" fillId="0" borderId="7" xfId="22" applyFont="1" applyBorder="1" applyAlignment="1">
      <alignment horizontal="right"/>
    </xf>
    <xf numFmtId="10" fontId="3" fillId="0" borderId="0" xfId="6" applyNumberFormat="1" applyFont="1" applyAlignment="1">
      <alignment horizontal="right"/>
    </xf>
    <xf numFmtId="0" fontId="3" fillId="0" borderId="0" xfId="22" applyFont="1"/>
    <xf numFmtId="0" fontId="1" fillId="0" borderId="9" xfId="22" applyFont="1" applyBorder="1"/>
    <xf numFmtId="0" fontId="1" fillId="0" borderId="10" xfId="22" applyFont="1" applyBorder="1"/>
    <xf numFmtId="4" fontId="1" fillId="0" borderId="11" xfId="22" applyNumberFormat="1" applyFont="1" applyBorder="1"/>
    <xf numFmtId="165" fontId="1" fillId="0" borderId="12" xfId="6" applyNumberFormat="1" applyFont="1" applyBorder="1" applyAlignment="1">
      <alignment horizontal="right"/>
    </xf>
    <xf numFmtId="0" fontId="3" fillId="0" borderId="7" xfId="22" applyFont="1" applyBorder="1"/>
    <xf numFmtId="0" fontId="39" fillId="0" borderId="0" xfId="22" applyFont="1"/>
    <xf numFmtId="0" fontId="3" fillId="0" borderId="0" xfId="22" applyFont="1" applyAlignment="1">
      <alignment horizontal="right"/>
    </xf>
    <xf numFmtId="165" fontId="3" fillId="0" borderId="0" xfId="4" applyNumberFormat="1" applyFont="1" applyAlignment="1">
      <alignment horizontal="right"/>
    </xf>
    <xf numFmtId="165" fontId="1" fillId="0" borderId="8" xfId="6" applyNumberFormat="1" applyFont="1" applyBorder="1" applyAlignment="1">
      <alignment horizontal="right"/>
    </xf>
    <xf numFmtId="0" fontId="3" fillId="0" borderId="13" xfId="22" applyFont="1" applyBorder="1"/>
    <xf numFmtId="10" fontId="2" fillId="0" borderId="14" xfId="37" applyNumberFormat="1" applyFont="1" applyBorder="1"/>
    <xf numFmtId="0" fontId="3" fillId="0" borderId="14" xfId="22" applyFont="1" applyBorder="1"/>
    <xf numFmtId="165" fontId="3" fillId="0" borderId="15" xfId="6" applyNumberFormat="1" applyFont="1" applyBorder="1" applyAlignment="1">
      <alignment horizontal="right"/>
    </xf>
    <xf numFmtId="0" fontId="1" fillId="0" borderId="16" xfId="22" applyFont="1" applyBorder="1"/>
    <xf numFmtId="0" fontId="3" fillId="0" borderId="17" xfId="22" applyFont="1" applyBorder="1"/>
    <xf numFmtId="165" fontId="1" fillId="0" borderId="18" xfId="4" applyNumberFormat="1" applyFont="1" applyBorder="1" applyAlignment="1">
      <alignment horizontal="right"/>
    </xf>
    <xf numFmtId="0" fontId="1" fillId="0" borderId="1" xfId="22" applyFont="1" applyBorder="1"/>
    <xf numFmtId="10" fontId="3" fillId="0" borderId="2" xfId="38" applyNumberFormat="1" applyFont="1" applyBorder="1"/>
    <xf numFmtId="0" fontId="1" fillId="0" borderId="2" xfId="22" applyFont="1" applyBorder="1"/>
    <xf numFmtId="165" fontId="1" fillId="0" borderId="15" xfId="6" applyNumberFormat="1" applyFont="1" applyBorder="1" applyAlignment="1">
      <alignment horizontal="right"/>
    </xf>
    <xf numFmtId="0" fontId="3" fillId="0" borderId="4" xfId="22" applyFont="1" applyBorder="1"/>
    <xf numFmtId="0" fontId="3" fillId="0" borderId="5" xfId="22" applyFont="1" applyBorder="1"/>
    <xf numFmtId="10" fontId="39" fillId="0" borderId="0" xfId="30" applyNumberFormat="1" applyFont="1"/>
    <xf numFmtId="0" fontId="36" fillId="0" borderId="0" xfId="0" applyFont="1"/>
    <xf numFmtId="0" fontId="1" fillId="0" borderId="0" xfId="22" applyFont="1" applyAlignment="1">
      <alignment horizontal="center"/>
    </xf>
    <xf numFmtId="0" fontId="4" fillId="0" borderId="0" xfId="22" applyFont="1" applyAlignment="1">
      <alignment horizontal="center"/>
    </xf>
    <xf numFmtId="0" fontId="41" fillId="0" borderId="19" xfId="22" applyFont="1" applyBorder="1" applyAlignment="1">
      <alignment horizontal="left"/>
    </xf>
    <xf numFmtId="0" fontId="5" fillId="0" borderId="20" xfId="22" applyFont="1" applyBorder="1" applyAlignment="1">
      <alignment horizontal="center"/>
    </xf>
    <xf numFmtId="2" fontId="1" fillId="0" borderId="20" xfId="22" applyNumberFormat="1" applyFont="1" applyBorder="1"/>
    <xf numFmtId="0" fontId="1" fillId="0" borderId="21" xfId="22" applyFont="1" applyBorder="1"/>
    <xf numFmtId="0" fontId="1" fillId="0" borderId="0" xfId="22" applyFont="1"/>
    <xf numFmtId="0" fontId="36" fillId="0" borderId="0" xfId="22" applyFont="1"/>
    <xf numFmtId="3" fontId="4" fillId="0" borderId="0" xfId="22" applyNumberFormat="1" applyFont="1"/>
    <xf numFmtId="0" fontId="39" fillId="0" borderId="7" xfId="0" applyFont="1" applyBorder="1"/>
    <xf numFmtId="3" fontId="1" fillId="0" borderId="8" xfId="22" applyNumberFormat="1" applyFont="1" applyBorder="1"/>
    <xf numFmtId="3" fontId="1" fillId="0" borderId="0" xfId="22" applyNumberFormat="1" applyFont="1"/>
    <xf numFmtId="0" fontId="7" fillId="0" borderId="0" xfId="22" applyFont="1"/>
    <xf numFmtId="0" fontId="1" fillId="0" borderId="22" xfId="22" applyFont="1" applyBorder="1"/>
    <xf numFmtId="0" fontId="1" fillId="0" borderId="11" xfId="22" applyFont="1" applyBorder="1" applyAlignment="1">
      <alignment horizontal="center"/>
    </xf>
    <xf numFmtId="0" fontId="1" fillId="0" borderId="23" xfId="22" applyFont="1" applyBorder="1" applyAlignment="1">
      <alignment horizontal="center"/>
    </xf>
    <xf numFmtId="5" fontId="2" fillId="0" borderId="7" xfId="22" applyNumberFormat="1" applyFont="1" applyBorder="1"/>
    <xf numFmtId="6" fontId="2" fillId="0" borderId="0" xfId="29" applyNumberFormat="1" applyFont="1" applyAlignment="1">
      <alignment wrapText="1"/>
    </xf>
    <xf numFmtId="2" fontId="2" fillId="0" borderId="0" xfId="22" applyNumberFormat="1" applyFont="1"/>
    <xf numFmtId="42" fontId="2" fillId="0" borderId="8" xfId="22" applyNumberFormat="1" applyFont="1" applyBorder="1"/>
    <xf numFmtId="42" fontId="2" fillId="0" borderId="0" xfId="22" applyNumberFormat="1" applyFont="1"/>
    <xf numFmtId="42" fontId="7" fillId="0" borderId="0" xfId="22" applyNumberFormat="1" applyFont="1"/>
    <xf numFmtId="6" fontId="2" fillId="0" borderId="0" xfId="29" applyNumberFormat="1" applyFont="1" applyAlignment="1">
      <alignment horizontal="right" wrapText="1"/>
    </xf>
    <xf numFmtId="4" fontId="2" fillId="0" borderId="0" xfId="22" applyNumberFormat="1" applyFont="1"/>
    <xf numFmtId="5" fontId="2" fillId="0" borderId="7" xfId="22" applyNumberFormat="1" applyFont="1" applyBorder="1" applyAlignment="1">
      <alignment horizontal="right"/>
    </xf>
    <xf numFmtId="10" fontId="2" fillId="0" borderId="0" xfId="29" applyNumberFormat="1" applyFont="1" applyAlignment="1">
      <alignment horizontal="right" wrapText="1"/>
    </xf>
    <xf numFmtId="42" fontId="5" fillId="0" borderId="0" xfId="22" applyNumberFormat="1" applyFont="1"/>
    <xf numFmtId="0" fontId="36" fillId="0" borderId="0" xfId="14" applyFont="1"/>
    <xf numFmtId="0" fontId="8" fillId="0" borderId="19" xfId="22" applyFont="1" applyBorder="1"/>
    <xf numFmtId="0" fontId="5" fillId="0" borderId="20" xfId="22" applyFont="1" applyBorder="1"/>
    <xf numFmtId="4" fontId="5" fillId="0" borderId="20" xfId="22" applyNumberFormat="1" applyFont="1" applyBorder="1"/>
    <xf numFmtId="42" fontId="5" fillId="0" borderId="21" xfId="22" applyNumberFormat="1" applyFont="1" applyBorder="1"/>
    <xf numFmtId="0" fontId="2" fillId="0" borderId="0" xfId="22" applyFont="1"/>
    <xf numFmtId="0" fontId="2" fillId="0" borderId="8" xfId="22" applyFont="1" applyBorder="1"/>
    <xf numFmtId="164" fontId="2" fillId="0" borderId="0" xfId="22" applyNumberFormat="1" applyFont="1"/>
    <xf numFmtId="168" fontId="2" fillId="0" borderId="0" xfId="22" applyNumberFormat="1" applyFont="1"/>
    <xf numFmtId="5" fontId="2" fillId="0" borderId="8" xfId="22" applyNumberFormat="1" applyFont="1" applyBorder="1"/>
    <xf numFmtId="0" fontId="2" fillId="0" borderId="24" xfId="22" applyFont="1" applyBorder="1"/>
    <xf numFmtId="164" fontId="2" fillId="0" borderId="25" xfId="22" applyNumberFormat="1" applyFont="1" applyBorder="1"/>
    <xf numFmtId="168" fontId="2" fillId="0" borderId="25" xfId="22" applyNumberFormat="1" applyFont="1" applyBorder="1"/>
    <xf numFmtId="5" fontId="2" fillId="0" borderId="26" xfId="22" applyNumberFormat="1" applyFont="1" applyBorder="1"/>
    <xf numFmtId="0" fontId="5" fillId="0" borderId="22" xfId="22" applyFont="1" applyBorder="1"/>
    <xf numFmtId="0" fontId="5" fillId="0" borderId="11" xfId="22" applyFont="1" applyBorder="1"/>
    <xf numFmtId="42" fontId="5" fillId="0" borderId="23" xfId="22" applyNumberFormat="1" applyFont="1" applyBorder="1"/>
    <xf numFmtId="0" fontId="2" fillId="0" borderId="16" xfId="22" applyFont="1" applyBorder="1"/>
    <xf numFmtId="10" fontId="2" fillId="0" borderId="17" xfId="37" applyNumberFormat="1" applyFont="1" applyBorder="1"/>
    <xf numFmtId="0" fontId="2" fillId="0" borderId="17" xfId="22" applyFont="1" applyBorder="1"/>
    <xf numFmtId="42" fontId="2" fillId="0" borderId="18" xfId="22" applyNumberFormat="1" applyFont="1" applyBorder="1"/>
    <xf numFmtId="5" fontId="2" fillId="0" borderId="0" xfId="22" applyNumberFormat="1" applyFont="1"/>
    <xf numFmtId="0" fontId="2" fillId="0" borderId="11" xfId="22" applyFont="1" applyBorder="1"/>
    <xf numFmtId="42" fontId="4" fillId="0" borderId="0" xfId="22" applyNumberFormat="1" applyFont="1"/>
    <xf numFmtId="0" fontId="2" fillId="0" borderId="27" xfId="22" applyFont="1" applyBorder="1"/>
    <xf numFmtId="0" fontId="2" fillId="0" borderId="28" xfId="22" applyFont="1" applyBorder="1"/>
    <xf numFmtId="44" fontId="5" fillId="0" borderId="29" xfId="22" applyNumberFormat="1" applyFont="1" applyBorder="1"/>
    <xf numFmtId="0" fontId="2" fillId="0" borderId="30" xfId="22" applyFont="1" applyBorder="1"/>
    <xf numFmtId="10" fontId="2" fillId="0" borderId="31" xfId="38" applyNumberFormat="1" applyFont="1" applyBorder="1"/>
    <xf numFmtId="0" fontId="2" fillId="0" borderId="31" xfId="22" applyFont="1" applyBorder="1"/>
    <xf numFmtId="44" fontId="5" fillId="3" borderId="32" xfId="22" applyNumberFormat="1" applyFont="1" applyFill="1" applyBorder="1"/>
    <xf numFmtId="10" fontId="2" fillId="0" borderId="0" xfId="38" applyNumberFormat="1" applyFont="1"/>
    <xf numFmtId="44" fontId="2" fillId="0" borderId="0" xfId="4" applyFont="1"/>
    <xf numFmtId="44" fontId="5" fillId="0" borderId="0" xfId="11" applyFont="1" applyAlignment="1">
      <alignment horizontal="right"/>
    </xf>
    <xf numFmtId="10" fontId="2" fillId="0" borderId="0" xfId="30" applyNumberFormat="1" applyFont="1"/>
    <xf numFmtId="10" fontId="7" fillId="0" borderId="0" xfId="38" applyNumberFormat="1" applyFont="1"/>
    <xf numFmtId="10" fontId="36" fillId="0" borderId="0" xfId="22" applyNumberFormat="1" applyFont="1"/>
    <xf numFmtId="0" fontId="42" fillId="0" borderId="0" xfId="22" applyFont="1" applyAlignment="1">
      <alignment horizontal="right"/>
    </xf>
    <xf numFmtId="44" fontId="6" fillId="0" borderId="0" xfId="11" applyFont="1"/>
    <xf numFmtId="44" fontId="7" fillId="0" borderId="0" xfId="22" applyNumberFormat="1" applyFont="1"/>
    <xf numFmtId="0" fontId="6" fillId="0" borderId="0" xfId="14" applyFont="1"/>
    <xf numFmtId="9" fontId="2" fillId="0" borderId="0" xfId="30" applyFont="1"/>
    <xf numFmtId="0" fontId="43" fillId="0" borderId="0" xfId="14" applyFont="1"/>
    <xf numFmtId="166" fontId="44" fillId="0" borderId="9" xfId="14" applyNumberFormat="1" applyFont="1" applyBorder="1" applyAlignment="1">
      <alignment horizontal="center" vertical="center" wrapText="1"/>
    </xf>
    <xf numFmtId="170" fontId="9" fillId="4" borderId="33" xfId="3" applyNumberFormat="1" applyFill="1" applyBorder="1" applyAlignment="1">
      <alignment wrapText="1"/>
    </xf>
    <xf numFmtId="0" fontId="36" fillId="4" borderId="10" xfId="14" applyFont="1" applyFill="1" applyBorder="1"/>
    <xf numFmtId="44" fontId="6" fillId="5" borderId="34" xfId="3" applyNumberFormat="1" applyFont="1" applyFill="1" applyBorder="1" applyAlignment="1">
      <alignment wrapText="1"/>
    </xf>
    <xf numFmtId="0" fontId="36" fillId="0" borderId="22" xfId="14" applyFont="1" applyBorder="1"/>
    <xf numFmtId="0" fontId="36" fillId="0" borderId="11" xfId="14" applyFont="1" applyBorder="1"/>
    <xf numFmtId="8" fontId="36" fillId="0" borderId="23" xfId="14" applyNumberFormat="1" applyFont="1" applyBorder="1"/>
    <xf numFmtId="170" fontId="9" fillId="0" borderId="0" xfId="3" applyNumberFormat="1" applyAlignment="1">
      <alignment wrapText="1"/>
    </xf>
    <xf numFmtId="165" fontId="7" fillId="0" borderId="0" xfId="22" applyNumberFormat="1" applyFont="1"/>
    <xf numFmtId="0" fontId="36" fillId="0" borderId="13" xfId="14" applyFont="1" applyBorder="1"/>
    <xf numFmtId="0" fontId="36" fillId="0" borderId="14" xfId="14" applyFont="1" applyBorder="1"/>
    <xf numFmtId="8" fontId="36" fillId="0" borderId="15" xfId="14" applyNumberFormat="1" applyFont="1" applyBorder="1"/>
    <xf numFmtId="44" fontId="6" fillId="0" borderId="0" xfId="3" applyNumberFormat="1" applyFont="1" applyAlignment="1">
      <alignment wrapText="1"/>
    </xf>
    <xf numFmtId="0" fontId="36" fillId="0" borderId="19" xfId="14" applyFont="1" applyBorder="1"/>
    <xf numFmtId="0" fontId="36" fillId="0" borderId="20" xfId="14" applyFont="1" applyBorder="1"/>
    <xf numFmtId="8" fontId="45" fillId="3" borderId="35" xfId="14" applyNumberFormat="1" applyFont="1" applyFill="1" applyBorder="1"/>
    <xf numFmtId="8" fontId="36" fillId="0" borderId="0" xfId="14" applyNumberFormat="1" applyFont="1"/>
    <xf numFmtId="0" fontId="36" fillId="0" borderId="4" xfId="14" applyFont="1" applyBorder="1"/>
    <xf numFmtId="0" fontId="36" fillId="0" borderId="5" xfId="14" applyFont="1" applyBorder="1"/>
    <xf numFmtId="8" fontId="45" fillId="0" borderId="0" xfId="14" applyNumberFormat="1" applyFont="1"/>
    <xf numFmtId="0" fontId="6" fillId="0" borderId="0" xfId="14" applyFont="1" applyAlignment="1">
      <alignment horizontal="center"/>
    </xf>
    <xf numFmtId="0" fontId="10" fillId="0" borderId="0" xfId="14" applyFont="1"/>
    <xf numFmtId="0" fontId="11" fillId="0" borderId="0" xfId="14" applyFont="1" applyAlignment="1">
      <alignment horizontal="center"/>
    </xf>
    <xf numFmtId="0" fontId="11" fillId="0" borderId="0" xfId="14" applyFont="1"/>
    <xf numFmtId="168" fontId="12" fillId="0" borderId="0" xfId="14" applyNumberFormat="1" applyFont="1"/>
    <xf numFmtId="0" fontId="9" fillId="0" borderId="0" xfId="14" applyFont="1"/>
    <xf numFmtId="44" fontId="11" fillId="0" borderId="0" xfId="14" applyNumberFormat="1" applyFont="1"/>
    <xf numFmtId="8" fontId="11" fillId="0" borderId="0" xfId="14" applyNumberFormat="1" applyFont="1"/>
    <xf numFmtId="5" fontId="5" fillId="0" borderId="23" xfId="22" applyNumberFormat="1" applyFont="1" applyBorder="1"/>
    <xf numFmtId="14" fontId="39" fillId="0" borderId="0" xfId="22" applyNumberFormat="1" applyFont="1"/>
    <xf numFmtId="0" fontId="40" fillId="0" borderId="36" xfId="0" applyFont="1" applyBorder="1" applyAlignment="1">
      <alignment horizontal="center"/>
    </xf>
    <xf numFmtId="42" fontId="3" fillId="0" borderId="8" xfId="22" applyNumberFormat="1" applyFont="1" applyBorder="1"/>
    <xf numFmtId="0" fontId="5" fillId="0" borderId="9" xfId="22" applyFont="1" applyBorder="1"/>
    <xf numFmtId="4" fontId="5" fillId="0" borderId="10" xfId="22" applyNumberFormat="1" applyFont="1" applyBorder="1"/>
    <xf numFmtId="42" fontId="1" fillId="0" borderId="12" xfId="22" applyNumberFormat="1" applyFont="1" applyBorder="1"/>
    <xf numFmtId="0" fontId="3" fillId="0" borderId="8" xfId="22" applyFont="1" applyBorder="1"/>
    <xf numFmtId="0" fontId="5" fillId="0" borderId="7" xfId="22" applyFont="1" applyBorder="1"/>
    <xf numFmtId="0" fontId="5" fillId="0" borderId="0" xfId="22" applyFont="1"/>
    <xf numFmtId="10" fontId="2" fillId="0" borderId="0" xfId="22" applyNumberFormat="1" applyFont="1"/>
    <xf numFmtId="164" fontId="2" fillId="0" borderId="17" xfId="22" applyNumberFormat="1" applyFont="1" applyBorder="1"/>
    <xf numFmtId="42" fontId="1" fillId="0" borderId="8" xfId="22" applyNumberFormat="1" applyFont="1" applyBorder="1"/>
    <xf numFmtId="42" fontId="1" fillId="0" borderId="23" xfId="22" applyNumberFormat="1" applyFont="1" applyBorder="1"/>
    <xf numFmtId="0" fontId="3" fillId="0" borderId="9" xfId="22" applyFont="1" applyBorder="1"/>
    <xf numFmtId="44" fontId="2" fillId="0" borderId="0" xfId="11" applyFont="1" applyAlignment="1">
      <alignment horizontal="right"/>
    </xf>
    <xf numFmtId="0" fontId="45" fillId="0" borderId="0" xfId="22" applyFont="1" applyAlignment="1">
      <alignment horizontal="right"/>
    </xf>
    <xf numFmtId="10" fontId="36" fillId="0" borderId="0" xfId="30" applyNumberFormat="1" applyFont="1"/>
    <xf numFmtId="0" fontId="47" fillId="0" borderId="0" xfId="0" applyFont="1"/>
    <xf numFmtId="0" fontId="6" fillId="0" borderId="0" xfId="0" applyFont="1" applyAlignment="1">
      <alignment wrapText="1"/>
    </xf>
    <xf numFmtId="8" fontId="45" fillId="0" borderId="0" xfId="0" applyNumberFormat="1" applyFont="1"/>
    <xf numFmtId="1" fontId="1" fillId="0" borderId="0" xfId="22" applyNumberFormat="1" applyFont="1"/>
    <xf numFmtId="6" fontId="2" fillId="0" borderId="0" xfId="0" applyNumberFormat="1" applyFont="1"/>
    <xf numFmtId="2" fontId="39" fillId="0" borderId="11" xfId="0" applyNumberFormat="1" applyFont="1" applyBorder="1"/>
    <xf numFmtId="0" fontId="5" fillId="0" borderId="10" xfId="22" applyFont="1" applyBorder="1"/>
    <xf numFmtId="44" fontId="3" fillId="0" borderId="8" xfId="6" applyFont="1" applyBorder="1" applyAlignment="1">
      <alignment horizontal="right"/>
    </xf>
    <xf numFmtId="0" fontId="1" fillId="0" borderId="0" xfId="22" applyFont="1" applyAlignment="1">
      <alignment horizontal="right"/>
    </xf>
    <xf numFmtId="44" fontId="1" fillId="0" borderId="10" xfId="22" applyNumberFormat="1" applyFont="1" applyBorder="1"/>
    <xf numFmtId="5" fontId="3" fillId="0" borderId="0" xfId="6" applyNumberFormat="1" applyFont="1" applyAlignment="1">
      <alignment horizontal="right"/>
    </xf>
    <xf numFmtId="42" fontId="9" fillId="4" borderId="0" xfId="0" applyNumberFormat="1" applyFont="1" applyFill="1"/>
    <xf numFmtId="0" fontId="2" fillId="0" borderId="13" xfId="22" applyFont="1" applyBorder="1"/>
    <xf numFmtId="9" fontId="3" fillId="0" borderId="14" xfId="22" applyNumberFormat="1" applyFont="1" applyBorder="1"/>
    <xf numFmtId="0" fontId="5" fillId="0" borderId="16" xfId="22" applyFont="1" applyBorder="1"/>
    <xf numFmtId="0" fontId="2" fillId="0" borderId="4" xfId="22" applyFont="1" applyBorder="1"/>
    <xf numFmtId="10" fontId="2" fillId="0" borderId="0" xfId="30" applyNumberFormat="1" applyFont="1" applyAlignment="1">
      <alignment horizontal="right"/>
    </xf>
    <xf numFmtId="10" fontId="3" fillId="0" borderId="20" xfId="12" applyNumberFormat="1" applyFont="1" applyBorder="1"/>
    <xf numFmtId="0" fontId="3" fillId="0" borderId="37" xfId="22" applyFont="1" applyBorder="1"/>
    <xf numFmtId="0" fontId="3" fillId="0" borderId="38" xfId="22" applyFont="1" applyBorder="1"/>
    <xf numFmtId="44" fontId="3" fillId="0" borderId="39" xfId="6" applyFont="1" applyBorder="1" applyAlignment="1">
      <alignment horizontal="right"/>
    </xf>
    <xf numFmtId="0" fontId="3" fillId="0" borderId="30" xfId="22" applyFont="1" applyBorder="1"/>
    <xf numFmtId="10" fontId="3" fillId="0" borderId="31" xfId="38" applyNumberFormat="1" applyFont="1" applyBorder="1"/>
    <xf numFmtId="0" fontId="3" fillId="0" borderId="31" xfId="22" applyFont="1" applyBorder="1"/>
    <xf numFmtId="44" fontId="1" fillId="3" borderId="32" xfId="6" applyFont="1" applyFill="1" applyBorder="1" applyAlignment="1">
      <alignment horizontal="right"/>
    </xf>
    <xf numFmtId="10" fontId="3" fillId="0" borderId="0" xfId="38" applyNumberFormat="1" applyFont="1"/>
    <xf numFmtId="44" fontId="3" fillId="0" borderId="0" xfId="6" applyFont="1" applyAlignment="1">
      <alignment horizontal="right"/>
    </xf>
    <xf numFmtId="171" fontId="7" fillId="0" borderId="0" xfId="22" applyNumberFormat="1" applyFont="1"/>
    <xf numFmtId="171" fontId="36" fillId="0" borderId="0" xfId="0" applyNumberFormat="1" applyFont="1"/>
    <xf numFmtId="44" fontId="3" fillId="0" borderId="0" xfId="4" applyFont="1" applyAlignment="1">
      <alignment horizontal="right"/>
    </xf>
    <xf numFmtId="10" fontId="3" fillId="0" borderId="0" xfId="30" applyNumberFormat="1" applyFont="1" applyAlignment="1">
      <alignment horizontal="right"/>
    </xf>
    <xf numFmtId="44" fontId="7" fillId="0" borderId="0" xfId="6" applyFont="1" applyAlignment="1">
      <alignment horizontal="right"/>
    </xf>
    <xf numFmtId="0" fontId="45" fillId="0" borderId="0" xfId="22" applyFont="1"/>
    <xf numFmtId="10" fontId="9" fillId="0" borderId="0" xfId="22" applyNumberFormat="1" applyFont="1"/>
    <xf numFmtId="168" fontId="45" fillId="0" borderId="0" xfId="22" applyNumberFormat="1" applyFont="1" applyAlignment="1">
      <alignment horizontal="right"/>
    </xf>
    <xf numFmtId="44" fontId="6" fillId="0" borderId="0" xfId="11" applyFont="1" applyAlignment="1">
      <alignment horizontal="right"/>
    </xf>
    <xf numFmtId="7" fontId="6" fillId="0" borderId="0" xfId="11" applyNumberFormat="1" applyFont="1"/>
    <xf numFmtId="10" fontId="45" fillId="0" borderId="0" xfId="30" applyNumberFormat="1" applyFont="1"/>
    <xf numFmtId="166" fontId="48" fillId="0" borderId="40" xfId="0" applyNumberFormat="1" applyFont="1" applyBorder="1" applyAlignment="1">
      <alignment horizontal="center" vertical="center"/>
    </xf>
    <xf numFmtId="165" fontId="3" fillId="0" borderId="0" xfId="6" applyNumberFormat="1" applyFont="1" applyAlignment="1">
      <alignment horizontal="center"/>
    </xf>
    <xf numFmtId="167" fontId="2" fillId="0" borderId="7" xfId="22" applyNumberFormat="1" applyFont="1" applyBorder="1" applyAlignment="1">
      <alignment horizontal="right"/>
    </xf>
    <xf numFmtId="165" fontId="3" fillId="0" borderId="8" xfId="4" applyNumberFormat="1" applyFont="1" applyBorder="1"/>
    <xf numFmtId="165" fontId="3" fillId="0" borderId="0" xfId="4" applyNumberFormat="1" applyFont="1"/>
    <xf numFmtId="0" fontId="2" fillId="0" borderId="22" xfId="22" applyFont="1" applyBorder="1"/>
    <xf numFmtId="10" fontId="2" fillId="0" borderId="11" xfId="22" applyNumberFormat="1" applyFont="1" applyBorder="1"/>
    <xf numFmtId="42" fontId="3" fillId="0" borderId="23" xfId="22" applyNumberFormat="1" applyFont="1" applyBorder="1"/>
    <xf numFmtId="10" fontId="2" fillId="0" borderId="17" xfId="22" applyNumberFormat="1" applyFont="1" applyBorder="1"/>
    <xf numFmtId="44" fontId="2" fillId="0" borderId="17" xfId="11" applyFont="1" applyBorder="1"/>
    <xf numFmtId="42" fontId="1" fillId="0" borderId="18" xfId="22" applyNumberFormat="1" applyFont="1" applyBorder="1"/>
    <xf numFmtId="44" fontId="2" fillId="0" borderId="0" xfId="11" applyFont="1"/>
    <xf numFmtId="44" fontId="1" fillId="0" borderId="8" xfId="22" applyNumberFormat="1" applyFont="1" applyBorder="1"/>
    <xf numFmtId="0" fontId="39" fillId="0" borderId="19" xfId="22" applyFont="1" applyBorder="1"/>
    <xf numFmtId="10" fontId="39" fillId="0" borderId="20" xfId="22" applyNumberFormat="1" applyFont="1" applyBorder="1"/>
    <xf numFmtId="0" fontId="39" fillId="0" borderId="20" xfId="22" applyFont="1" applyBorder="1"/>
    <xf numFmtId="168" fontId="46" fillId="0" borderId="21" xfId="22" applyNumberFormat="1" applyFont="1" applyBorder="1"/>
    <xf numFmtId="42" fontId="3" fillId="0" borderId="0" xfId="22" applyNumberFormat="1" applyFont="1"/>
    <xf numFmtId="10" fontId="46" fillId="0" borderId="20" xfId="22" applyNumberFormat="1" applyFont="1" applyBorder="1"/>
    <xf numFmtId="44" fontId="5" fillId="0" borderId="20" xfId="11" applyFont="1" applyBorder="1"/>
    <xf numFmtId="168" fontId="5" fillId="3" borderId="21" xfId="11" applyNumberFormat="1" applyFont="1" applyFill="1" applyBorder="1"/>
    <xf numFmtId="169" fontId="1" fillId="0" borderId="0" xfId="22" applyNumberFormat="1" applyFont="1"/>
    <xf numFmtId="7" fontId="5" fillId="0" borderId="0" xfId="11" applyNumberFormat="1" applyFont="1"/>
    <xf numFmtId="0" fontId="39" fillId="0" borderId="0" xfId="22" applyFont="1" applyAlignment="1">
      <alignment horizontal="right"/>
    </xf>
    <xf numFmtId="44" fontId="39" fillId="0" borderId="0" xfId="4" applyFont="1"/>
    <xf numFmtId="169" fontId="48" fillId="0" borderId="0" xfId="22" applyNumberFormat="1" applyFont="1"/>
    <xf numFmtId="165" fontId="3" fillId="0" borderId="0" xfId="6" applyNumberFormat="1" applyFont="1"/>
    <xf numFmtId="172" fontId="3" fillId="0" borderId="0" xfId="22" applyNumberFormat="1" applyFont="1"/>
    <xf numFmtId="44" fontId="3" fillId="0" borderId="0" xfId="22" applyNumberFormat="1" applyFont="1"/>
    <xf numFmtId="0" fontId="36" fillId="0" borderId="0" xfId="0" applyFont="1" applyAlignment="1">
      <alignment horizontal="center"/>
    </xf>
    <xf numFmtId="0" fontId="46" fillId="0" borderId="0" xfId="22" applyFont="1"/>
    <xf numFmtId="0" fontId="2" fillId="0" borderId="22" xfId="0" applyFont="1" applyBorder="1" applyAlignment="1">
      <alignment wrapText="1"/>
    </xf>
    <xf numFmtId="165" fontId="3" fillId="0" borderId="23" xfId="6" applyNumberFormat="1" applyFont="1" applyBorder="1"/>
    <xf numFmtId="165" fontId="3" fillId="0" borderId="8" xfId="6" applyNumberFormat="1" applyFont="1" applyBorder="1"/>
    <xf numFmtId="168" fontId="2" fillId="0" borderId="17" xfId="22" applyNumberFormat="1" applyFont="1" applyBorder="1"/>
    <xf numFmtId="165" fontId="3" fillId="0" borderId="18" xfId="6" applyNumberFormat="1" applyFont="1" applyBorder="1"/>
    <xf numFmtId="42" fontId="3" fillId="0" borderId="18" xfId="22" applyNumberFormat="1" applyFont="1" applyBorder="1"/>
    <xf numFmtId="10" fontId="2" fillId="0" borderId="0" xfId="37" applyNumberFormat="1" applyFont="1"/>
    <xf numFmtId="10" fontId="2" fillId="0" borderId="5" xfId="22" applyNumberFormat="1" applyFont="1" applyBorder="1"/>
    <xf numFmtId="0" fontId="2" fillId="0" borderId="5" xfId="22" applyFont="1" applyBorder="1"/>
    <xf numFmtId="168" fontId="46" fillId="3" borderId="6" xfId="22" applyNumberFormat="1" applyFont="1" applyFill="1" applyBorder="1"/>
    <xf numFmtId="10" fontId="39" fillId="0" borderId="0" xfId="22" applyNumberFormat="1" applyFont="1"/>
    <xf numFmtId="0" fontId="39" fillId="0" borderId="0" xfId="22" applyFont="1" applyAlignment="1">
      <alignment horizontal="center"/>
    </xf>
    <xf numFmtId="168" fontId="39" fillId="0" borderId="0" xfId="22" applyNumberFormat="1" applyFont="1"/>
    <xf numFmtId="10" fontId="46" fillId="0" borderId="0" xfId="22" applyNumberFormat="1" applyFont="1"/>
    <xf numFmtId="0" fontId="46" fillId="0" borderId="0" xfId="22" applyFont="1" applyAlignment="1">
      <alignment horizontal="right"/>
    </xf>
    <xf numFmtId="0" fontId="49" fillId="0" borderId="1" xfId="22" applyFont="1" applyBorder="1" applyAlignment="1">
      <alignment horizontal="center"/>
    </xf>
    <xf numFmtId="0" fontId="50" fillId="0" borderId="2" xfId="22" applyFont="1" applyBorder="1" applyAlignment="1">
      <alignment horizontal="center"/>
    </xf>
    <xf numFmtId="0" fontId="50" fillId="0" borderId="3" xfId="22" applyFont="1" applyBorder="1" applyAlignment="1">
      <alignment horizontal="center"/>
    </xf>
    <xf numFmtId="0" fontId="49" fillId="0" borderId="7" xfId="22" applyFont="1" applyBorder="1" applyAlignment="1">
      <alignment horizontal="center"/>
    </xf>
    <xf numFmtId="0" fontId="50" fillId="0" borderId="0" xfId="22" applyFont="1" applyAlignment="1">
      <alignment horizontal="center"/>
    </xf>
    <xf numFmtId="0" fontId="50" fillId="0" borderId="8" xfId="22" applyFont="1" applyBorder="1" applyAlignment="1">
      <alignment horizontal="center"/>
    </xf>
    <xf numFmtId="0" fontId="50" fillId="0" borderId="19" xfId="22" applyFont="1" applyBorder="1" applyAlignment="1">
      <alignment horizontal="center"/>
    </xf>
    <xf numFmtId="0" fontId="51" fillId="0" borderId="20" xfId="0" applyFont="1" applyBorder="1" applyAlignment="1">
      <alignment horizontal="center"/>
    </xf>
    <xf numFmtId="0" fontId="50" fillId="0" borderId="21" xfId="22" applyFont="1" applyBorder="1" applyAlignment="1">
      <alignment horizontal="center"/>
    </xf>
    <xf numFmtId="0" fontId="51" fillId="0" borderId="19" xfId="26" applyFont="1" applyBorder="1" applyAlignment="1">
      <alignment horizontal="center"/>
    </xf>
    <xf numFmtId="0" fontId="51" fillId="0" borderId="20" xfId="26" applyFont="1" applyBorder="1" applyAlignment="1">
      <alignment horizontal="center" wrapText="1"/>
    </xf>
    <xf numFmtId="0" fontId="33" fillId="0" borderId="0" xfId="15" applyAlignment="1">
      <alignment horizontal="center"/>
    </xf>
    <xf numFmtId="0" fontId="33" fillId="0" borderId="0" xfId="15"/>
    <xf numFmtId="0" fontId="34" fillId="0" borderId="0" xfId="17" applyAlignment="1">
      <alignment horizontal="left" vertical="top"/>
    </xf>
    <xf numFmtId="0" fontId="54" fillId="0" borderId="0" xfId="15" applyFont="1"/>
    <xf numFmtId="0" fontId="54" fillId="0" borderId="1" xfId="15" applyFont="1" applyBorder="1" applyAlignment="1">
      <alignment horizontal="right"/>
    </xf>
    <xf numFmtId="164" fontId="54" fillId="0" borderId="2" xfId="15" applyNumberFormat="1" applyFont="1" applyBorder="1" applyAlignment="1">
      <alignment horizontal="center"/>
    </xf>
    <xf numFmtId="0" fontId="54" fillId="0" borderId="7" xfId="15" applyFont="1" applyBorder="1" applyAlignment="1">
      <alignment horizontal="right"/>
    </xf>
    <xf numFmtId="10" fontId="33" fillId="0" borderId="0" xfId="15" applyNumberFormat="1" applyAlignment="1">
      <alignment horizontal="center"/>
    </xf>
    <xf numFmtId="164" fontId="33" fillId="0" borderId="0" xfId="15" applyNumberFormat="1" applyAlignment="1">
      <alignment horizontal="center"/>
    </xf>
    <xf numFmtId="0" fontId="54" fillId="0" borderId="8" xfId="15" applyFont="1" applyBorder="1"/>
    <xf numFmtId="0" fontId="55" fillId="0" borderId="4" xfId="15" applyFont="1" applyBorder="1" applyAlignment="1">
      <alignment horizontal="right"/>
    </xf>
    <xf numFmtId="10" fontId="54" fillId="0" borderId="5" xfId="15" applyNumberFormat="1" applyFont="1" applyBorder="1"/>
    <xf numFmtId="10" fontId="54" fillId="0" borderId="6" xfId="15" applyNumberFormat="1" applyFont="1" applyBorder="1"/>
    <xf numFmtId="0" fontId="56" fillId="0" borderId="0" xfId="15" applyFont="1"/>
    <xf numFmtId="0" fontId="57" fillId="0" borderId="0" xfId="15" applyFont="1" applyAlignment="1">
      <alignment horizontal="center"/>
    </xf>
    <xf numFmtId="0" fontId="57" fillId="0" borderId="0" xfId="15" applyFont="1"/>
    <xf numFmtId="14" fontId="19" fillId="0" borderId="0" xfId="15" applyNumberFormat="1" applyFont="1" applyAlignment="1">
      <alignment horizontal="left"/>
    </xf>
    <xf numFmtId="0" fontId="55" fillId="6" borderId="19" xfId="15" applyFont="1" applyFill="1" applyBorder="1" applyAlignment="1">
      <alignment horizontal="center" wrapText="1"/>
    </xf>
    <xf numFmtId="0" fontId="55" fillId="6" borderId="20" xfId="15" applyFont="1" applyFill="1" applyBorder="1" applyAlignment="1">
      <alignment horizontal="center" wrapText="1"/>
    </xf>
    <xf numFmtId="10" fontId="33" fillId="0" borderId="0" xfId="15" applyNumberFormat="1"/>
    <xf numFmtId="0" fontId="54" fillId="0" borderId="4" xfId="15" applyFont="1" applyBorder="1" applyAlignment="1">
      <alignment horizontal="right"/>
    </xf>
    <xf numFmtId="164" fontId="33" fillId="0" borderId="5" xfId="15" applyNumberFormat="1" applyBorder="1" applyAlignment="1">
      <alignment horizontal="center"/>
    </xf>
    <xf numFmtId="37" fontId="33" fillId="0" borderId="25" xfId="2" applyNumberFormat="1" applyBorder="1" applyAlignment="1">
      <alignment horizontal="center"/>
    </xf>
    <xf numFmtId="10" fontId="54" fillId="0" borderId="0" xfId="15" applyNumberFormat="1" applyFont="1"/>
    <xf numFmtId="10" fontId="54" fillId="0" borderId="8" xfId="15" applyNumberFormat="1" applyFont="1" applyBorder="1"/>
    <xf numFmtId="168" fontId="55" fillId="7" borderId="5" xfId="15" applyNumberFormat="1" applyFont="1" applyFill="1" applyBorder="1" applyAlignment="1">
      <alignment horizontal="center"/>
    </xf>
    <xf numFmtId="0" fontId="58" fillId="0" borderId="0" xfId="15" applyFont="1" applyAlignment="1">
      <alignment horizontal="right"/>
    </xf>
    <xf numFmtId="5" fontId="59" fillId="0" borderId="0" xfId="7" applyNumberFormat="1" applyFont="1" applyAlignment="1">
      <alignment horizontal="center"/>
    </xf>
    <xf numFmtId="175" fontId="33" fillId="0" borderId="0" xfId="8" applyNumberFormat="1" applyFont="1"/>
    <xf numFmtId="174" fontId="33" fillId="0" borderId="0" xfId="15" applyNumberFormat="1"/>
    <xf numFmtId="0" fontId="60" fillId="0" borderId="11" xfId="15" applyFont="1" applyBorder="1" applyAlignment="1">
      <alignment horizontal="right"/>
    </xf>
    <xf numFmtId="164" fontId="60" fillId="3" borderId="11" xfId="15" applyNumberFormat="1" applyFont="1" applyFill="1" applyBorder="1" applyAlignment="1">
      <alignment horizontal="center"/>
    </xf>
    <xf numFmtId="0" fontId="60" fillId="0" borderId="0" xfId="15" applyFont="1" applyAlignment="1">
      <alignment horizontal="center"/>
    </xf>
    <xf numFmtId="0" fontId="61" fillId="8" borderId="0" xfId="15" applyFont="1" applyFill="1"/>
    <xf numFmtId="0" fontId="60" fillId="8" borderId="0" xfId="15" applyFont="1" applyFill="1" applyAlignment="1">
      <alignment horizontal="center"/>
    </xf>
    <xf numFmtId="0" fontId="62" fillId="9" borderId="1" xfId="28" applyFont="1" applyFill="1" applyBorder="1"/>
    <xf numFmtId="0" fontId="62" fillId="9" borderId="2" xfId="28" applyFont="1" applyFill="1" applyBorder="1"/>
    <xf numFmtId="166" fontId="62" fillId="0" borderId="0" xfId="28" applyNumberFormat="1" applyFont="1" applyAlignment="1">
      <alignment horizontal="center"/>
    </xf>
    <xf numFmtId="0" fontId="61" fillId="9" borderId="7" xfId="28" applyFont="1" applyFill="1" applyBorder="1"/>
    <xf numFmtId="0" fontId="61" fillId="9" borderId="0" xfId="28" applyFont="1" applyFill="1" applyAlignment="1">
      <alignment horizontal="right"/>
    </xf>
    <xf numFmtId="0" fontId="61" fillId="0" borderId="0" xfId="28" applyFont="1" applyAlignment="1">
      <alignment horizontal="center"/>
    </xf>
    <xf numFmtId="0" fontId="60" fillId="0" borderId="0" xfId="15" applyFont="1"/>
    <xf numFmtId="0" fontId="63" fillId="0" borderId="0" xfId="15" applyFont="1"/>
    <xf numFmtId="0" fontId="61" fillId="9" borderId="22" xfId="28" applyFont="1" applyFill="1" applyBorder="1"/>
    <xf numFmtId="0" fontId="61" fillId="9" borderId="11" xfId="28" applyFont="1" applyFill="1" applyBorder="1" applyAlignment="1">
      <alignment horizontal="right"/>
    </xf>
    <xf numFmtId="1" fontId="61" fillId="0" borderId="0" xfId="28" applyNumberFormat="1" applyFont="1" applyAlignment="1">
      <alignment horizontal="center"/>
    </xf>
    <xf numFmtId="0" fontId="61" fillId="9" borderId="0" xfId="28" applyFont="1" applyFill="1"/>
    <xf numFmtId="0" fontId="61" fillId="9" borderId="4" xfId="28" applyFont="1" applyFill="1" applyBorder="1"/>
    <xf numFmtId="0" fontId="61" fillId="9" borderId="5" xfId="28" applyFont="1" applyFill="1" applyBorder="1"/>
    <xf numFmtId="0" fontId="65" fillId="0" borderId="0" xfId="17" applyFont="1" applyAlignment="1">
      <alignment horizontal="left" vertical="top"/>
    </xf>
    <xf numFmtId="0" fontId="64" fillId="0" borderId="35" xfId="15" applyFont="1" applyBorder="1" applyAlignment="1">
      <alignment horizontal="center"/>
    </xf>
    <xf numFmtId="6" fontId="60" fillId="0" borderId="48" xfId="15" applyNumberFormat="1" applyFont="1" applyBorder="1" applyAlignment="1">
      <alignment horizontal="center"/>
    </xf>
    <xf numFmtId="6" fontId="60" fillId="0" borderId="41" xfId="15" applyNumberFormat="1" applyFont="1" applyBorder="1" applyAlignment="1">
      <alignment horizontal="center"/>
    </xf>
    <xf numFmtId="0" fontId="60" fillId="0" borderId="41" xfId="15" applyFont="1" applyBorder="1" applyAlignment="1">
      <alignment horizontal="center"/>
    </xf>
    <xf numFmtId="0" fontId="65" fillId="0" borderId="0" xfId="17" applyFont="1" applyAlignment="1">
      <alignment horizontal="right" vertical="top"/>
    </xf>
    <xf numFmtId="164" fontId="65" fillId="3" borderId="0" xfId="17" applyNumberFormat="1" applyFont="1" applyFill="1" applyAlignment="1">
      <alignment horizontal="center" vertical="top"/>
    </xf>
    <xf numFmtId="0" fontId="67" fillId="0" borderId="40" xfId="17" applyFont="1" applyBorder="1" applyAlignment="1">
      <alignment vertical="center"/>
    </xf>
    <xf numFmtId="0" fontId="68" fillId="0" borderId="49" xfId="17" applyFont="1" applyBorder="1" applyAlignment="1">
      <alignment horizontal="center" vertical="center"/>
    </xf>
    <xf numFmtId="0" fontId="68" fillId="0" borderId="29" xfId="17" applyFont="1" applyBorder="1" applyAlignment="1">
      <alignment horizontal="center" vertical="center"/>
    </xf>
    <xf numFmtId="176" fontId="69" fillId="0" borderId="36" xfId="10" applyNumberFormat="1" applyFont="1" applyBorder="1" applyAlignment="1">
      <alignment horizontal="left"/>
    </xf>
    <xf numFmtId="10" fontId="69" fillId="0" borderId="41" xfId="36" applyNumberFormat="1" applyFont="1" applyBorder="1" applyAlignment="1">
      <alignment horizontal="center" vertical="center"/>
    </xf>
    <xf numFmtId="0" fontId="69" fillId="0" borderId="12" xfId="17" applyFont="1" applyBorder="1"/>
    <xf numFmtId="176" fontId="66" fillId="0" borderId="50" xfId="10" applyNumberFormat="1" applyFont="1" applyBorder="1" applyAlignment="1">
      <alignment horizontal="left"/>
    </xf>
    <xf numFmtId="10" fontId="69" fillId="0" borderId="51" xfId="36" applyNumberFormat="1" applyFont="1" applyBorder="1" applyAlignment="1">
      <alignment horizontal="center" vertical="center"/>
    </xf>
    <xf numFmtId="0" fontId="69" fillId="0" borderId="8" xfId="17" applyFont="1" applyBorder="1"/>
    <xf numFmtId="172" fontId="69" fillId="0" borderId="50" xfId="10" applyNumberFormat="1" applyFont="1" applyBorder="1" applyAlignment="1">
      <alignment horizontal="right"/>
    </xf>
    <xf numFmtId="0" fontId="71" fillId="0" borderId="8" xfId="17" applyFont="1" applyBorder="1"/>
    <xf numFmtId="5" fontId="69" fillId="0" borderId="51" xfId="17" applyNumberFormat="1" applyFont="1" applyBorder="1" applyAlignment="1">
      <alignment horizontal="center" vertical="center"/>
    </xf>
    <xf numFmtId="172" fontId="69" fillId="0" borderId="52" xfId="10" applyNumberFormat="1" applyFont="1" applyBorder="1"/>
    <xf numFmtId="10" fontId="69" fillId="0" borderId="53" xfId="36" applyNumberFormat="1" applyFont="1" applyBorder="1" applyAlignment="1">
      <alignment horizontal="center" vertical="center"/>
    </xf>
    <xf numFmtId="0" fontId="69" fillId="0" borderId="6" xfId="17" applyFont="1" applyBorder="1"/>
    <xf numFmtId="0" fontId="69" fillId="0" borderId="4" xfId="17" applyFont="1" applyBorder="1"/>
    <xf numFmtId="10" fontId="69" fillId="0" borderId="53" xfId="17" applyNumberFormat="1" applyFont="1" applyBorder="1" applyAlignment="1">
      <alignment horizontal="center" vertical="center"/>
    </xf>
    <xf numFmtId="0" fontId="71" fillId="0" borderId="6" xfId="17" applyFont="1" applyBorder="1"/>
    <xf numFmtId="0" fontId="15" fillId="2" borderId="0" xfId="0" applyFont="1" applyFill="1"/>
    <xf numFmtId="0" fontId="6" fillId="2" borderId="8" xfId="0" applyFont="1" applyFill="1" applyBorder="1"/>
    <xf numFmtId="0" fontId="16" fillId="2" borderId="5" xfId="0" applyFont="1" applyFill="1" applyBorder="1"/>
    <xf numFmtId="0" fontId="6" fillId="2" borderId="6" xfId="0" applyFont="1" applyFill="1" applyBorder="1"/>
    <xf numFmtId="0" fontId="6" fillId="0" borderId="0" xfId="0" applyFont="1"/>
    <xf numFmtId="0" fontId="9" fillId="11" borderId="0" xfId="0" applyFont="1" applyFill="1"/>
    <xf numFmtId="0" fontId="9" fillId="12" borderId="0" xfId="0" applyFont="1" applyFill="1"/>
    <xf numFmtId="0" fontId="9" fillId="13" borderId="0" xfId="0" applyFont="1" applyFill="1"/>
    <xf numFmtId="0" fontId="9" fillId="8" borderId="0" xfId="0" applyFont="1" applyFill="1"/>
    <xf numFmtId="14" fontId="6" fillId="0" borderId="0" xfId="0" applyNumberFormat="1" applyFont="1"/>
    <xf numFmtId="174" fontId="0" fillId="0" borderId="0" xfId="0" applyNumberFormat="1"/>
    <xf numFmtId="2" fontId="0" fillId="0" borderId="0" xfId="0" applyNumberFormat="1"/>
    <xf numFmtId="0" fontId="6" fillId="0" borderId="0" xfId="24" applyFont="1" applyAlignment="1"/>
    <xf numFmtId="0" fontId="36" fillId="0" borderId="0" xfId="24" applyAlignment="1"/>
    <xf numFmtId="0" fontId="52" fillId="0" borderId="0" xfId="24" applyFont="1" applyAlignment="1"/>
    <xf numFmtId="0" fontId="53" fillId="0" borderId="0" xfId="24" applyFont="1" applyAlignment="1"/>
    <xf numFmtId="0" fontId="36" fillId="0" borderId="42" xfId="24" applyBorder="1" applyAlignment="1"/>
    <xf numFmtId="0" fontId="36" fillId="0" borderId="14" xfId="24" applyBorder="1" applyAlignment="1"/>
    <xf numFmtId="0" fontId="36" fillId="0" borderId="43" xfId="24" applyBorder="1" applyAlignment="1"/>
    <xf numFmtId="0" fontId="36" fillId="0" borderId="44" xfId="24" applyBorder="1" applyAlignment="1"/>
    <xf numFmtId="0" fontId="36" fillId="0" borderId="0" xfId="24" applyAlignment="1">
      <alignment horizontal="right"/>
    </xf>
    <xf numFmtId="0" fontId="6" fillId="0" borderId="0" xfId="24" applyFont="1" applyAlignment="1">
      <alignment horizontal="center"/>
    </xf>
    <xf numFmtId="0" fontId="36" fillId="0" borderId="45" xfId="24" applyBorder="1" applyAlignment="1"/>
    <xf numFmtId="3" fontId="6" fillId="0" borderId="0" xfId="19" applyFont="1" applyAlignment="1"/>
    <xf numFmtId="0" fontId="17" fillId="0" borderId="45" xfId="24" applyFont="1" applyBorder="1" applyAlignment="1">
      <alignment horizontal="center"/>
    </xf>
    <xf numFmtId="174" fontId="9" fillId="0" borderId="54" xfId="19" applyNumberFormat="1" applyBorder="1" applyAlignment="1"/>
    <xf numFmtId="174" fontId="9" fillId="0" borderId="0" xfId="19" applyNumberFormat="1" applyAlignment="1"/>
    <xf numFmtId="174" fontId="36" fillId="0" borderId="45" xfId="24" applyNumberFormat="1" applyBorder="1" applyAlignment="1">
      <alignment horizontal="center"/>
    </xf>
    <xf numFmtId="0" fontId="36" fillId="0" borderId="45" xfId="24" applyBorder="1" applyAlignment="1">
      <alignment horizontal="center"/>
    </xf>
    <xf numFmtId="0" fontId="36" fillId="0" borderId="44" xfId="24" applyBorder="1" applyAlignment="1">
      <alignment horizontal="right"/>
    </xf>
    <xf numFmtId="174" fontId="9" fillId="0" borderId="41" xfId="19" applyNumberFormat="1" applyBorder="1" applyAlignment="1"/>
    <xf numFmtId="0" fontId="6" fillId="3" borderId="0" xfId="24" applyFont="1" applyFill="1" applyAlignment="1">
      <alignment horizontal="right"/>
    </xf>
    <xf numFmtId="10" fontId="6" fillId="3" borderId="45" xfId="34" applyNumberFormat="1" applyFont="1" applyFill="1" applyBorder="1" applyAlignment="1">
      <alignment horizontal="center"/>
    </xf>
    <xf numFmtId="0" fontId="36" fillId="0" borderId="46" xfId="24" applyBorder="1" applyAlignment="1"/>
    <xf numFmtId="0" fontId="36" fillId="0" borderId="11" xfId="24" applyBorder="1" applyAlignment="1"/>
    <xf numFmtId="0" fontId="36" fillId="0" borderId="47" xfId="24" applyBorder="1" applyAlignment="1"/>
    <xf numFmtId="14" fontId="0" fillId="0" borderId="0" xfId="0" applyNumberFormat="1"/>
    <xf numFmtId="0" fontId="0" fillId="0" borderId="0" xfId="0" applyAlignment="1">
      <alignment horizontal="center"/>
    </xf>
    <xf numFmtId="0" fontId="73" fillId="0" borderId="21" xfId="22" applyFont="1" applyBorder="1" applyAlignment="1">
      <alignment horizontal="center"/>
    </xf>
    <xf numFmtId="0" fontId="74" fillId="0" borderId="0" xfId="22" applyFont="1"/>
    <xf numFmtId="0" fontId="29" fillId="0" borderId="8" xfId="0" applyFont="1" applyBorder="1" applyAlignment="1">
      <alignment horizontal="center" wrapText="1"/>
    </xf>
    <xf numFmtId="43" fontId="33" fillId="0" borderId="0" xfId="1" applyFont="1"/>
    <xf numFmtId="0" fontId="75" fillId="0" borderId="7" xfId="22" applyFont="1" applyBorder="1"/>
    <xf numFmtId="5" fontId="76" fillId="0" borderId="45" xfId="22" applyNumberFormat="1" applyFont="1" applyBorder="1" applyAlignment="1">
      <alignment horizontal="center"/>
    </xf>
    <xf numFmtId="43" fontId="76" fillId="0" borderId="0" xfId="1" applyFont="1" applyFill="1" applyBorder="1" applyAlignment="1">
      <alignment horizontal="center"/>
    </xf>
    <xf numFmtId="0" fontId="77" fillId="0" borderId="7" xfId="29" applyFont="1" applyBorder="1"/>
    <xf numFmtId="167" fontId="75" fillId="0" borderId="7" xfId="29" applyNumberFormat="1" applyFont="1" applyBorder="1" applyAlignment="1">
      <alignment wrapText="1"/>
    </xf>
    <xf numFmtId="166" fontId="16" fillId="0" borderId="0" xfId="22" applyNumberFormat="1" applyFont="1" applyAlignment="1">
      <alignment horizontal="center"/>
    </xf>
    <xf numFmtId="0" fontId="30" fillId="0" borderId="0" xfId="22" applyFont="1" applyAlignment="1">
      <alignment horizontal="center"/>
    </xf>
    <xf numFmtId="43" fontId="76" fillId="0" borderId="0" xfId="1" applyFont="1" applyBorder="1" applyAlignment="1">
      <alignment horizontal="center"/>
    </xf>
    <xf numFmtId="0" fontId="75" fillId="0" borderId="21" xfId="22" applyFont="1" applyBorder="1" applyAlignment="1">
      <alignment horizontal="center"/>
    </xf>
    <xf numFmtId="164" fontId="76" fillId="0" borderId="45" xfId="22" applyNumberFormat="1" applyFont="1" applyBorder="1" applyAlignment="1">
      <alignment horizontal="center"/>
    </xf>
    <xf numFmtId="0" fontId="78" fillId="0" borderId="55" xfId="0" applyFont="1" applyBorder="1" applyAlignment="1">
      <alignment horizontal="center"/>
    </xf>
    <xf numFmtId="164" fontId="76" fillId="0" borderId="45" xfId="11" applyNumberFormat="1" applyFont="1" applyFill="1" applyBorder="1" applyAlignment="1">
      <alignment horizontal="center"/>
    </xf>
    <xf numFmtId="10" fontId="76" fillId="0" borderId="45" xfId="37" applyNumberFormat="1" applyFont="1" applyFill="1" applyBorder="1" applyAlignment="1">
      <alignment horizontal="center"/>
    </xf>
    <xf numFmtId="9" fontId="79" fillId="0" borderId="6" xfId="22" applyNumberFormat="1" applyFont="1" applyBorder="1" applyAlignment="1">
      <alignment horizontal="left" wrapText="1"/>
    </xf>
    <xf numFmtId="10" fontId="76" fillId="0" borderId="45" xfId="30" applyNumberFormat="1" applyFont="1" applyFill="1" applyBorder="1" applyAlignment="1">
      <alignment horizontal="center"/>
    </xf>
    <xf numFmtId="0" fontId="77" fillId="0" borderId="4" xfId="0" applyFont="1" applyBorder="1"/>
    <xf numFmtId="10" fontId="63" fillId="0" borderId="5" xfId="0" applyNumberFormat="1" applyFont="1" applyBorder="1" applyAlignment="1">
      <alignment horizontal="center"/>
    </xf>
    <xf numFmtId="0" fontId="63" fillId="0" borderId="0" xfId="25" applyFont="1" applyAlignment="1">
      <alignment wrapText="1"/>
    </xf>
    <xf numFmtId="0" fontId="63" fillId="0" borderId="0" xfId="25" applyFont="1" applyAlignment="1">
      <alignment horizontal="left" vertical="top" wrapText="1"/>
    </xf>
    <xf numFmtId="0" fontId="63" fillId="0" borderId="8" xfId="25" applyFont="1" applyBorder="1" applyAlignment="1">
      <alignment wrapText="1"/>
    </xf>
    <xf numFmtId="0" fontId="80" fillId="0" borderId="0" xfId="0" applyFont="1"/>
    <xf numFmtId="0" fontId="80" fillId="0" borderId="0" xfId="0" applyFont="1" applyAlignment="1">
      <alignment horizontal="right"/>
    </xf>
    <xf numFmtId="0" fontId="0" fillId="0" borderId="63" xfId="0" applyBorder="1" applyAlignment="1">
      <alignment wrapText="1"/>
    </xf>
    <xf numFmtId="0" fontId="0" fillId="0" borderId="56" xfId="0" applyBorder="1" applyAlignment="1">
      <alignment wrapText="1"/>
    </xf>
    <xf numFmtId="0" fontId="0" fillId="0" borderId="64" xfId="0" applyBorder="1"/>
    <xf numFmtId="0" fontId="0" fillId="0" borderId="65" xfId="0" applyBorder="1"/>
    <xf numFmtId="0" fontId="0" fillId="0" borderId="66" xfId="0" applyBorder="1"/>
    <xf numFmtId="44" fontId="0" fillId="0" borderId="0" xfId="0" applyNumberFormat="1"/>
    <xf numFmtId="44" fontId="0" fillId="0" borderId="57" xfId="0" applyNumberFormat="1" applyBorder="1"/>
    <xf numFmtId="44" fontId="0" fillId="0" borderId="51" xfId="0" applyNumberFormat="1" applyBorder="1"/>
    <xf numFmtId="44" fontId="0" fillId="0" borderId="48" xfId="0" applyNumberFormat="1" applyBorder="1"/>
    <xf numFmtId="0" fontId="0" fillId="14" borderId="64" xfId="0" applyFill="1" applyBorder="1"/>
    <xf numFmtId="0" fontId="0" fillId="0" borderId="64" xfId="0" applyBorder="1" applyAlignment="1">
      <alignment wrapText="1"/>
    </xf>
    <xf numFmtId="0" fontId="0" fillId="14" borderId="64" xfId="0" applyFill="1" applyBorder="1" applyAlignment="1">
      <alignment wrapText="1"/>
    </xf>
    <xf numFmtId="7" fontId="0" fillId="0" borderId="64" xfId="0" applyNumberFormat="1" applyBorder="1"/>
    <xf numFmtId="7" fontId="0" fillId="14" borderId="51" xfId="0" applyNumberFormat="1" applyFill="1" applyBorder="1"/>
    <xf numFmtId="7" fontId="0" fillId="0" borderId="65" xfId="0" applyNumberFormat="1" applyBorder="1"/>
    <xf numFmtId="7" fontId="0" fillId="0" borderId="63" xfId="0" applyNumberFormat="1" applyBorder="1"/>
    <xf numFmtId="44" fontId="0" fillId="3" borderId="51" xfId="0" applyNumberFormat="1" applyFill="1" applyBorder="1"/>
    <xf numFmtId="0" fontId="63" fillId="0" borderId="8" xfId="25" applyFont="1" applyBorder="1"/>
    <xf numFmtId="10" fontId="2" fillId="0" borderId="0" xfId="30" applyNumberFormat="1" applyFont="1" applyFill="1" applyBorder="1" applyAlignment="1"/>
    <xf numFmtId="0" fontId="6" fillId="10" borderId="1" xfId="14" applyFont="1" applyFill="1" applyBorder="1"/>
    <xf numFmtId="0" fontId="36" fillId="10" borderId="2" xfId="14" applyFont="1" applyFill="1" applyBorder="1"/>
    <xf numFmtId="0" fontId="36" fillId="10" borderId="3" xfId="14" applyFont="1" applyFill="1" applyBorder="1"/>
    <xf numFmtId="0" fontId="8" fillId="0" borderId="1" xfId="22" applyFont="1" applyBorder="1"/>
    <xf numFmtId="0" fontId="5" fillId="0" borderId="2" xfId="22" applyFont="1" applyBorder="1"/>
    <xf numFmtId="4" fontId="5" fillId="0" borderId="2" xfId="22" applyNumberFormat="1" applyFont="1" applyBorder="1"/>
    <xf numFmtId="42" fontId="5" fillId="0" borderId="3" xfId="22" applyNumberFormat="1" applyFont="1" applyBorder="1"/>
    <xf numFmtId="0" fontId="8" fillId="0" borderId="24" xfId="22" applyFont="1" applyBorder="1"/>
    <xf numFmtId="0" fontId="5" fillId="0" borderId="25" xfId="22" applyFont="1" applyBorder="1"/>
    <xf numFmtId="4" fontId="5" fillId="0" borderId="25" xfId="22" applyNumberFormat="1" applyFont="1" applyBorder="1"/>
    <xf numFmtId="42" fontId="5" fillId="0" borderId="26" xfId="22" applyNumberFormat="1" applyFont="1" applyBorder="1"/>
    <xf numFmtId="10" fontId="2" fillId="0" borderId="11" xfId="29" applyNumberFormat="1" applyFont="1" applyBorder="1" applyAlignment="1">
      <alignment horizontal="right" wrapText="1"/>
    </xf>
    <xf numFmtId="2" fontId="2" fillId="0" borderId="11" xfId="22" applyNumberFormat="1" applyFont="1" applyBorder="1"/>
    <xf numFmtId="5" fontId="2" fillId="0" borderId="22" xfId="22" applyNumberFormat="1" applyFont="1" applyBorder="1" applyAlignment="1">
      <alignment horizontal="right"/>
    </xf>
    <xf numFmtId="42" fontId="2" fillId="0" borderId="23" xfId="22" applyNumberFormat="1" applyFont="1" applyBorder="1"/>
    <xf numFmtId="0" fontId="8" fillId="0" borderId="7" xfId="22" applyFont="1" applyBorder="1"/>
    <xf numFmtId="4" fontId="5" fillId="0" borderId="0" xfId="22" applyNumberFormat="1" applyFont="1"/>
    <xf numFmtId="42" fontId="5" fillId="0" borderId="8" xfId="22" applyNumberFormat="1" applyFont="1" applyBorder="1"/>
    <xf numFmtId="10" fontId="2" fillId="0" borderId="0" xfId="37" applyNumberFormat="1" applyFont="1" applyBorder="1"/>
    <xf numFmtId="0" fontId="2" fillId="0" borderId="25" xfId="22" applyFont="1" applyBorder="1"/>
    <xf numFmtId="42" fontId="5" fillId="0" borderId="12" xfId="22" applyNumberFormat="1" applyFont="1" applyBorder="1"/>
    <xf numFmtId="0" fontId="5" fillId="0" borderId="24" xfId="22" applyFont="1" applyBorder="1"/>
    <xf numFmtId="0" fontId="49" fillId="0" borderId="2" xfId="14" applyFont="1" applyBorder="1" applyAlignment="1">
      <alignment horizontal="center" wrapText="1"/>
    </xf>
    <xf numFmtId="0" fontId="49" fillId="0" borderId="3" xfId="14" applyFont="1" applyBorder="1" applyAlignment="1">
      <alignment horizontal="center" wrapText="1"/>
    </xf>
    <xf numFmtId="10" fontId="81" fillId="0" borderId="8" xfId="33" applyNumberFormat="1" applyFont="1" applyFill="1" applyBorder="1"/>
    <xf numFmtId="10" fontId="81" fillId="0" borderId="6" xfId="33" applyNumberFormat="1" applyFont="1" applyFill="1" applyBorder="1"/>
    <xf numFmtId="0" fontId="82" fillId="0" borderId="0" xfId="14" applyFont="1" applyAlignment="1">
      <alignment horizontal="right"/>
    </xf>
    <xf numFmtId="0" fontId="36" fillId="0" borderId="1" xfId="0" applyFont="1" applyBorder="1" applyAlignment="1">
      <alignment horizontal="right"/>
    </xf>
    <xf numFmtId="0" fontId="51" fillId="0" borderId="2" xfId="0" applyFont="1" applyBorder="1" applyAlignment="1">
      <alignment horizontal="right"/>
    </xf>
    <xf numFmtId="0" fontId="51" fillId="0" borderId="7" xfId="0" applyFont="1" applyBorder="1" applyAlignment="1">
      <alignment horizontal="right"/>
    </xf>
    <xf numFmtId="0" fontId="36" fillId="0" borderId="4" xfId="0" applyFont="1" applyBorder="1" applyAlignment="1">
      <alignment horizontal="right"/>
    </xf>
    <xf numFmtId="0" fontId="11" fillId="0" borderId="5" xfId="14" applyFont="1" applyBorder="1" applyAlignment="1">
      <alignment horizontal="right"/>
    </xf>
    <xf numFmtId="168" fontId="80" fillId="3" borderId="0" xfId="0" applyNumberFormat="1" applyFont="1" applyFill="1"/>
    <xf numFmtId="168" fontId="80" fillId="3" borderId="5" xfId="0" applyNumberFormat="1" applyFont="1" applyFill="1" applyBorder="1"/>
    <xf numFmtId="168" fontId="49" fillId="3" borderId="0" xfId="14" applyNumberFormat="1" applyFont="1" applyFill="1"/>
    <xf numFmtId="168" fontId="50" fillId="0" borderId="0" xfId="0" applyNumberFormat="1" applyFont="1"/>
    <xf numFmtId="8" fontId="50" fillId="0" borderId="0" xfId="9" applyNumberFormat="1" applyFont="1" applyFill="1" applyBorder="1" applyAlignment="1"/>
    <xf numFmtId="168" fontId="50" fillId="0" borderId="0" xfId="14" applyNumberFormat="1" applyFont="1"/>
    <xf numFmtId="168" fontId="50" fillId="0" borderId="5" xfId="14" applyNumberFormat="1" applyFont="1" applyBorder="1"/>
    <xf numFmtId="170" fontId="9" fillId="4" borderId="58" xfId="3" applyNumberFormat="1" applyFill="1" applyBorder="1" applyAlignment="1">
      <alignment wrapText="1"/>
    </xf>
    <xf numFmtId="8" fontId="36" fillId="0" borderId="60" xfId="14" applyNumberFormat="1" applyFont="1" applyBorder="1"/>
    <xf numFmtId="8" fontId="36" fillId="0" borderId="61" xfId="14" applyNumberFormat="1" applyFont="1" applyBorder="1"/>
    <xf numFmtId="0" fontId="1" fillId="0" borderId="7" xfId="22" applyFont="1" applyBorder="1"/>
    <xf numFmtId="4" fontId="1" fillId="0" borderId="0" xfId="22" applyNumberFormat="1" applyFont="1"/>
    <xf numFmtId="0" fontId="3" fillId="0" borderId="11" xfId="22" applyFont="1" applyBorder="1"/>
    <xf numFmtId="0" fontId="1" fillId="0" borderId="17" xfId="22" applyFont="1" applyBorder="1"/>
    <xf numFmtId="4" fontId="1" fillId="0" borderId="17" xfId="22" applyNumberFormat="1" applyFont="1" applyBorder="1"/>
    <xf numFmtId="165" fontId="1" fillId="0" borderId="18" xfId="6" applyNumberFormat="1" applyFont="1" applyBorder="1" applyAlignment="1">
      <alignment horizontal="right"/>
    </xf>
    <xf numFmtId="0" fontId="39" fillId="0" borderId="10" xfId="22" applyFont="1" applyBorder="1"/>
    <xf numFmtId="165" fontId="3" fillId="0" borderId="10" xfId="4" applyNumberFormat="1" applyFont="1" applyBorder="1" applyAlignment="1">
      <alignment horizontal="right"/>
    </xf>
    <xf numFmtId="0" fontId="1" fillId="0" borderId="24" xfId="22" applyFont="1" applyBorder="1"/>
    <xf numFmtId="0" fontId="3" fillId="0" borderId="25" xfId="22" applyFont="1" applyBorder="1"/>
    <xf numFmtId="165" fontId="1" fillId="0" borderId="26" xfId="4" applyNumberFormat="1" applyFont="1" applyBorder="1" applyAlignment="1">
      <alignment horizontal="right"/>
    </xf>
    <xf numFmtId="0" fontId="3" fillId="0" borderId="1" xfId="22" applyFont="1" applyBorder="1"/>
    <xf numFmtId="10" fontId="3" fillId="0" borderId="0" xfId="6" applyNumberFormat="1" applyFont="1" applyBorder="1" applyAlignment="1">
      <alignment horizontal="right"/>
    </xf>
    <xf numFmtId="165" fontId="3" fillId="0" borderId="0" xfId="4" applyNumberFormat="1" applyFont="1" applyBorder="1" applyAlignment="1">
      <alignment horizontal="right"/>
    </xf>
    <xf numFmtId="10" fontId="3" fillId="0" borderId="11" xfId="38" applyNumberFormat="1" applyFont="1" applyBorder="1"/>
    <xf numFmtId="0" fontId="1" fillId="0" borderId="11" xfId="22" applyFont="1" applyBorder="1"/>
    <xf numFmtId="165" fontId="1" fillId="0" borderId="23" xfId="6" applyNumberFormat="1" applyFont="1" applyBorder="1" applyAlignment="1">
      <alignment horizontal="right"/>
    </xf>
    <xf numFmtId="4" fontId="5" fillId="0" borderId="11" xfId="22" applyNumberFormat="1" applyFont="1" applyBorder="1"/>
    <xf numFmtId="4" fontId="5" fillId="0" borderId="17" xfId="22" applyNumberFormat="1" applyFont="1" applyBorder="1"/>
    <xf numFmtId="0" fontId="5" fillId="0" borderId="38" xfId="22" applyFont="1" applyBorder="1"/>
    <xf numFmtId="42" fontId="5" fillId="0" borderId="39" xfId="22" applyNumberFormat="1" applyFont="1" applyBorder="1"/>
    <xf numFmtId="0" fontId="8" fillId="0" borderId="9" xfId="22" applyFont="1" applyBorder="1"/>
    <xf numFmtId="0" fontId="8" fillId="0" borderId="16" xfId="22" applyFont="1" applyBorder="1"/>
    <xf numFmtId="42" fontId="5" fillId="0" borderId="18" xfId="22" applyNumberFormat="1" applyFont="1" applyBorder="1"/>
    <xf numFmtId="0" fontId="77" fillId="0" borderId="7" xfId="25" applyFont="1" applyBorder="1"/>
    <xf numFmtId="44" fontId="42" fillId="0" borderId="0" xfId="4" applyFont="1" applyAlignment="1">
      <alignment horizontal="right"/>
    </xf>
    <xf numFmtId="167" fontId="32" fillId="0" borderId="7" xfId="29" applyNumberFormat="1" applyFont="1" applyBorder="1" applyAlignment="1">
      <alignment wrapText="1"/>
    </xf>
    <xf numFmtId="9" fontId="3" fillId="0" borderId="0" xfId="22" applyNumberFormat="1" applyFont="1"/>
    <xf numFmtId="10" fontId="2" fillId="0" borderId="0" xfId="30" applyNumberFormat="1" applyFont="1" applyBorder="1" applyAlignment="1">
      <alignment horizontal="right"/>
    </xf>
    <xf numFmtId="10" fontId="3" fillId="0" borderId="0" xfId="12" applyNumberFormat="1" applyFont="1" applyBorder="1"/>
    <xf numFmtId="0" fontId="3" fillId="0" borderId="27" xfId="22" applyFont="1" applyBorder="1"/>
    <xf numFmtId="0" fontId="3" fillId="0" borderId="28" xfId="22" applyFont="1" applyBorder="1"/>
    <xf numFmtId="44" fontId="3" fillId="0" borderId="29" xfId="6" applyFont="1" applyBorder="1" applyAlignment="1">
      <alignment horizontal="right"/>
    </xf>
    <xf numFmtId="0" fontId="2" fillId="0" borderId="0" xfId="22" applyFont="1" applyAlignment="1">
      <alignment horizontal="center" vertical="center"/>
    </xf>
    <xf numFmtId="5" fontId="3" fillId="0" borderId="0" xfId="6" applyNumberFormat="1" applyFont="1" applyBorder="1" applyAlignment="1">
      <alignment horizontal="right"/>
    </xf>
    <xf numFmtId="165" fontId="1" fillId="0" borderId="23" xfId="4" applyNumberFormat="1" applyFont="1" applyBorder="1" applyAlignment="1">
      <alignment horizontal="right"/>
    </xf>
    <xf numFmtId="165" fontId="1" fillId="0" borderId="8" xfId="4" applyNumberFormat="1" applyFont="1" applyBorder="1" applyAlignment="1">
      <alignment horizontal="right"/>
    </xf>
    <xf numFmtId="165" fontId="3" fillId="0" borderId="8" xfId="4" applyNumberFormat="1" applyFont="1" applyBorder="1" applyAlignment="1">
      <alignment horizontal="right"/>
    </xf>
    <xf numFmtId="44" fontId="5" fillId="0" borderId="0" xfId="11" applyFont="1" applyBorder="1"/>
    <xf numFmtId="168" fontId="5" fillId="0" borderId="0" xfId="11" applyNumberFormat="1" applyFont="1" applyFill="1" applyBorder="1"/>
    <xf numFmtId="0" fontId="39" fillId="0" borderId="4" xfId="22" applyFont="1" applyBorder="1"/>
    <xf numFmtId="10" fontId="46" fillId="0" borderId="5" xfId="22" applyNumberFormat="1" applyFont="1" applyBorder="1"/>
    <xf numFmtId="44" fontId="5" fillId="0" borderId="5" xfId="11" applyFont="1" applyBorder="1"/>
    <xf numFmtId="168" fontId="5" fillId="3" borderId="6" xfId="11" applyNumberFormat="1" applyFont="1" applyFill="1" applyBorder="1"/>
    <xf numFmtId="44" fontId="2" fillId="0" borderId="0" xfId="11" applyFont="1" applyBorder="1"/>
    <xf numFmtId="165" fontId="3" fillId="0" borderId="23" xfId="6" applyNumberFormat="1" applyFont="1" applyBorder="1" applyAlignment="1">
      <alignment horizontal="right"/>
    </xf>
    <xf numFmtId="168" fontId="2" fillId="0" borderId="0" xfId="11" applyNumberFormat="1" applyFont="1" applyFill="1" applyBorder="1"/>
    <xf numFmtId="44" fontId="2" fillId="0" borderId="11" xfId="11" applyFont="1" applyBorder="1"/>
    <xf numFmtId="10" fontId="2" fillId="0" borderId="0" xfId="30" applyNumberFormat="1" applyFont="1" applyBorder="1"/>
    <xf numFmtId="0" fontId="39" fillId="0" borderId="7" xfId="22" applyFont="1" applyBorder="1"/>
    <xf numFmtId="168" fontId="46" fillId="0" borderId="8" xfId="22" applyNumberFormat="1" applyFont="1" applyBorder="1"/>
    <xf numFmtId="10" fontId="2" fillId="0" borderId="0" xfId="30" applyNumberFormat="1" applyFont="1" applyFill="1" applyBorder="1"/>
    <xf numFmtId="0" fontId="1" fillId="0" borderId="28" xfId="22" applyFont="1" applyBorder="1"/>
    <xf numFmtId="0" fontId="39" fillId="0" borderId="28" xfId="22" applyFont="1" applyBorder="1"/>
    <xf numFmtId="3" fontId="1" fillId="0" borderId="29" xfId="22" applyNumberFormat="1" applyFont="1" applyBorder="1"/>
    <xf numFmtId="10" fontId="2" fillId="0" borderId="11" xfId="37" applyNumberFormat="1" applyFont="1" applyBorder="1"/>
    <xf numFmtId="0" fontId="2" fillId="0" borderId="19" xfId="22" applyFont="1" applyBorder="1"/>
    <xf numFmtId="10" fontId="2" fillId="0" borderId="20" xfId="22" applyNumberFormat="1" applyFont="1" applyBorder="1"/>
    <xf numFmtId="0" fontId="2" fillId="0" borderId="20" xfId="22" applyFont="1" applyBorder="1"/>
    <xf numFmtId="168" fontId="46" fillId="3" borderId="21" xfId="22" applyNumberFormat="1" applyFont="1" applyFill="1" applyBorder="1"/>
    <xf numFmtId="0" fontId="2" fillId="0" borderId="7" xfId="0" applyFont="1" applyBorder="1" applyAlignment="1">
      <alignment wrapText="1"/>
    </xf>
    <xf numFmtId="44" fontId="36" fillId="0" borderId="0" xfId="0" applyNumberFormat="1" applyFont="1"/>
    <xf numFmtId="0" fontId="0" fillId="0" borderId="67" xfId="0" applyBorder="1"/>
    <xf numFmtId="0" fontId="51" fillId="0" borderId="0" xfId="25" applyFont="1"/>
    <xf numFmtId="0" fontId="51" fillId="0" borderId="0" xfId="25" applyFont="1" applyAlignment="1">
      <alignment wrapText="1"/>
    </xf>
    <xf numFmtId="8" fontId="51" fillId="0" borderId="0" xfId="25" applyNumberFormat="1" applyFont="1"/>
    <xf numFmtId="0" fontId="51" fillId="0" borderId="0" xfId="26" applyFont="1" applyAlignment="1">
      <alignment horizontal="center"/>
    </xf>
    <xf numFmtId="0" fontId="49" fillId="0" borderId="7" xfId="22" applyFont="1" applyBorder="1" applyAlignment="1">
      <alignment horizontal="center" wrapText="1"/>
    </xf>
    <xf numFmtId="0" fontId="80" fillId="0" borderId="21" xfId="26" applyFont="1" applyBorder="1" applyAlignment="1">
      <alignment horizontal="center" vertical="center"/>
    </xf>
    <xf numFmtId="0" fontId="33" fillId="0" borderId="0" xfId="25"/>
    <xf numFmtId="0" fontId="55" fillId="0" borderId="0" xfId="25" applyFont="1" applyAlignment="1">
      <alignment horizontal="center"/>
    </xf>
    <xf numFmtId="0" fontId="33" fillId="0" borderId="0" xfId="25" applyAlignment="1">
      <alignment wrapText="1"/>
    </xf>
    <xf numFmtId="8" fontId="33" fillId="0" borderId="0" xfId="25" applyNumberFormat="1"/>
    <xf numFmtId="17" fontId="86" fillId="0" borderId="0" xfId="25" applyNumberFormat="1" applyFont="1" applyAlignment="1">
      <alignment horizontal="center"/>
    </xf>
    <xf numFmtId="173" fontId="37" fillId="0" borderId="0" xfId="25" applyNumberFormat="1" applyFont="1" applyAlignment="1">
      <alignment horizontal="left" vertical="top"/>
    </xf>
    <xf numFmtId="0" fontId="37" fillId="0" borderId="0" xfId="25" applyFont="1" applyAlignment="1">
      <alignment horizontal="center"/>
    </xf>
    <xf numFmtId="0" fontId="37" fillId="0" borderId="0" xfId="25" applyFont="1"/>
    <xf numFmtId="9" fontId="37" fillId="0" borderId="0" xfId="25" applyNumberFormat="1" applyFont="1" applyAlignment="1">
      <alignment horizontal="center" wrapText="1"/>
    </xf>
    <xf numFmtId="0" fontId="37" fillId="0" borderId="0" xfId="25" applyFont="1" applyAlignment="1">
      <alignment horizontal="left" wrapText="1"/>
    </xf>
    <xf numFmtId="8" fontId="33" fillId="0" borderId="0" xfId="25" applyNumberFormat="1" applyAlignment="1">
      <alignment horizontal="right"/>
    </xf>
    <xf numFmtId="0" fontId="70" fillId="0" borderId="1" xfId="25" applyFont="1" applyBorder="1"/>
    <xf numFmtId="168" fontId="33" fillId="0" borderId="28" xfId="25" applyNumberFormat="1" applyBorder="1" applyAlignment="1">
      <alignment horizontal="center"/>
    </xf>
    <xf numFmtId="0" fontId="33" fillId="0" borderId="2" xfId="25" applyBorder="1"/>
    <xf numFmtId="44" fontId="33" fillId="10" borderId="28" xfId="4" applyFont="1" applyFill="1" applyBorder="1" applyAlignment="1">
      <alignment horizontal="center"/>
    </xf>
    <xf numFmtId="8" fontId="33" fillId="0" borderId="3" xfId="25" applyNumberFormat="1" applyBorder="1"/>
    <xf numFmtId="10" fontId="33" fillId="0" borderId="0" xfId="30" applyNumberFormat="1" applyFont="1"/>
    <xf numFmtId="0" fontId="70" fillId="0" borderId="4" xfId="25" applyFont="1" applyBorder="1"/>
    <xf numFmtId="164" fontId="33" fillId="0" borderId="5" xfId="25" applyNumberFormat="1" applyBorder="1" applyAlignment="1">
      <alignment horizontal="center"/>
    </xf>
    <xf numFmtId="0" fontId="33" fillId="0" borderId="5" xfId="25" applyBorder="1"/>
    <xf numFmtId="165" fontId="33" fillId="10" borderId="5" xfId="4" applyNumberFormat="1" applyFont="1" applyFill="1" applyBorder="1" applyAlignment="1">
      <alignment horizontal="center"/>
    </xf>
    <xf numFmtId="6" fontId="33" fillId="0" borderId="3" xfId="25" applyNumberFormat="1" applyBorder="1"/>
    <xf numFmtId="0" fontId="33" fillId="0" borderId="1" xfId="25" applyBorder="1"/>
    <xf numFmtId="0" fontId="33" fillId="0" borderId="7" xfId="25" applyBorder="1"/>
    <xf numFmtId="164" fontId="33" fillId="0" borderId="0" xfId="25" applyNumberFormat="1" applyAlignment="1">
      <alignment horizontal="center"/>
    </xf>
    <xf numFmtId="165" fontId="33" fillId="10" borderId="0" xfId="4" applyNumberFormat="1" applyFont="1" applyFill="1" applyAlignment="1">
      <alignment horizontal="center"/>
    </xf>
    <xf numFmtId="0" fontId="33" fillId="0" borderId="4" xfId="25" applyBorder="1"/>
    <xf numFmtId="0" fontId="33" fillId="0" borderId="1" xfId="25" applyBorder="1" applyAlignment="1">
      <alignment wrapText="1"/>
    </xf>
    <xf numFmtId="0" fontId="33" fillId="0" borderId="4" xfId="25" applyBorder="1" applyAlignment="1">
      <alignment wrapText="1"/>
    </xf>
    <xf numFmtId="168" fontId="33" fillId="0" borderId="2" xfId="25" applyNumberFormat="1" applyBorder="1" applyAlignment="1">
      <alignment horizontal="center"/>
    </xf>
    <xf numFmtId="44" fontId="33" fillId="10" borderId="2" xfId="4" applyFont="1" applyFill="1" applyBorder="1" applyAlignment="1">
      <alignment horizontal="center"/>
    </xf>
    <xf numFmtId="44" fontId="33" fillId="10" borderId="5" xfId="4" applyFont="1" applyFill="1" applyBorder="1" applyAlignment="1">
      <alignment horizontal="center"/>
    </xf>
    <xf numFmtId="168" fontId="33" fillId="0" borderId="0" xfId="25" applyNumberFormat="1" applyAlignment="1">
      <alignment horizontal="center"/>
    </xf>
    <xf numFmtId="44" fontId="33" fillId="10" borderId="0" xfId="4" applyFont="1" applyFill="1" applyAlignment="1">
      <alignment horizontal="center"/>
    </xf>
    <xf numFmtId="0" fontId="70" fillId="0" borderId="7" xfId="25" applyFont="1" applyBorder="1"/>
    <xf numFmtId="10" fontId="86" fillId="0" borderId="0" xfId="25" applyNumberFormat="1" applyFont="1"/>
    <xf numFmtId="0" fontId="59" fillId="0" borderId="0" xfId="25" applyFont="1" applyAlignment="1">
      <alignment horizontal="right" wrapText="1"/>
    </xf>
    <xf numFmtId="0" fontId="33" fillId="0" borderId="0" xfId="25" applyAlignment="1">
      <alignment horizontal="center"/>
    </xf>
    <xf numFmtId="0" fontId="33" fillId="0" borderId="0" xfId="25" applyAlignment="1">
      <alignment horizontal="right"/>
    </xf>
    <xf numFmtId="10" fontId="33" fillId="0" borderId="0" xfId="30" applyNumberFormat="1" applyFont="1" applyAlignment="1">
      <alignment horizontal="center"/>
    </xf>
    <xf numFmtId="9" fontId="33" fillId="0" borderId="0" xfId="30" applyFont="1" applyAlignment="1">
      <alignment horizontal="center"/>
    </xf>
    <xf numFmtId="9" fontId="33" fillId="0" borderId="0" xfId="30" applyFont="1"/>
    <xf numFmtId="0" fontId="70" fillId="0" borderId="0" xfId="25" applyFont="1" applyAlignment="1">
      <alignment horizontal="right"/>
    </xf>
    <xf numFmtId="164" fontId="33" fillId="0" borderId="0" xfId="25" applyNumberFormat="1"/>
    <xf numFmtId="6" fontId="33" fillId="0" borderId="0" xfId="25" applyNumberFormat="1" applyAlignment="1">
      <alignment horizontal="center"/>
    </xf>
    <xf numFmtId="0" fontId="37" fillId="0" borderId="0" xfId="25" applyFont="1" applyAlignment="1">
      <alignment horizontal="right"/>
    </xf>
    <xf numFmtId="0" fontId="37" fillId="0" borderId="0" xfId="25" applyFont="1" applyAlignment="1">
      <alignment horizontal="right" vertical="top"/>
    </xf>
    <xf numFmtId="170" fontId="34" fillId="0" borderId="0" xfId="1" applyNumberFormat="1" applyFont="1" applyFill="1"/>
    <xf numFmtId="10" fontId="34" fillId="0" borderId="0" xfId="30" applyNumberFormat="1" applyFont="1" applyAlignment="1">
      <alignment horizontal="right" vertical="top"/>
    </xf>
    <xf numFmtId="0" fontId="67" fillId="0" borderId="68" xfId="17" applyFont="1" applyBorder="1" applyAlignment="1">
      <alignment vertical="center"/>
    </xf>
    <xf numFmtId="0" fontId="68" fillId="0" borderId="48" xfId="17" applyFont="1" applyBorder="1" applyAlignment="1">
      <alignment horizontal="center" vertical="center"/>
    </xf>
    <xf numFmtId="0" fontId="68" fillId="0" borderId="23" xfId="17" applyFont="1" applyBorder="1" applyAlignment="1">
      <alignment horizontal="center" vertical="center"/>
    </xf>
    <xf numFmtId="0" fontId="34" fillId="0" borderId="0" xfId="17" applyAlignment="1">
      <alignment vertical="top"/>
    </xf>
    <xf numFmtId="0" fontId="34" fillId="0" borderId="0" xfId="17"/>
    <xf numFmtId="0" fontId="89" fillId="16" borderId="2" xfId="17" applyFont="1" applyFill="1" applyBorder="1" applyAlignment="1">
      <alignment horizontal="center"/>
    </xf>
    <xf numFmtId="0" fontId="89" fillId="16" borderId="0" xfId="17" applyFont="1" applyFill="1" applyAlignment="1">
      <alignment horizontal="center"/>
    </xf>
    <xf numFmtId="172" fontId="93" fillId="0" borderId="0" xfId="21" applyNumberFormat="1" applyFont="1"/>
    <xf numFmtId="10" fontId="94" fillId="0" borderId="0" xfId="21" applyNumberFormat="1" applyFont="1"/>
    <xf numFmtId="165" fontId="93" fillId="0" borderId="0" xfId="10" applyNumberFormat="1" applyFont="1" applyFill="1" applyBorder="1"/>
    <xf numFmtId="0" fontId="2" fillId="0" borderId="0" xfId="21" applyFont="1"/>
    <xf numFmtId="0" fontId="88" fillId="0" borderId="0" xfId="21" applyFont="1" applyAlignment="1">
      <alignment horizontal="center"/>
    </xf>
    <xf numFmtId="165" fontId="71" fillId="0" borderId="0" xfId="10" applyNumberFormat="1" applyFont="1" applyFill="1" applyBorder="1"/>
    <xf numFmtId="165" fontId="91" fillId="0" borderId="0" xfId="10" applyNumberFormat="1" applyFont="1" applyFill="1" applyBorder="1"/>
    <xf numFmtId="165" fontId="92" fillId="0" borderId="0" xfId="21" applyNumberFormat="1" applyFont="1"/>
    <xf numFmtId="165" fontId="2" fillId="0" borderId="0" xfId="10" applyNumberFormat="1" applyFont="1" applyFill="1" applyBorder="1"/>
    <xf numFmtId="165" fontId="92" fillId="0" borderId="0" xfId="10" applyNumberFormat="1" applyFont="1" applyFill="1" applyBorder="1"/>
    <xf numFmtId="7" fontId="34" fillId="0" borderId="0" xfId="17" applyNumberFormat="1"/>
    <xf numFmtId="10" fontId="71" fillId="0" borderId="0" xfId="36" applyNumberFormat="1" applyFont="1" applyAlignment="1">
      <alignment horizontal="left" vertical="top"/>
    </xf>
    <xf numFmtId="5" fontId="71" fillId="0" borderId="0" xfId="5" applyNumberFormat="1" applyFont="1" applyAlignment="1">
      <alignment horizontal="left" vertical="top"/>
    </xf>
    <xf numFmtId="164" fontId="34" fillId="0" borderId="0" xfId="17" applyNumberFormat="1" applyAlignment="1">
      <alignment horizontal="left" vertical="top"/>
    </xf>
    <xf numFmtId="165" fontId="34" fillId="0" borderId="0" xfId="17" applyNumberFormat="1"/>
    <xf numFmtId="0" fontId="66" fillId="0" borderId="0" xfId="17" applyFont="1" applyAlignment="1">
      <alignment horizontal="left" vertical="center"/>
    </xf>
    <xf numFmtId="0" fontId="69" fillId="0" borderId="0" xfId="17" applyFont="1" applyAlignment="1">
      <alignment horizontal="left" vertical="center"/>
    </xf>
    <xf numFmtId="10" fontId="34" fillId="0" borderId="0" xfId="17" applyNumberFormat="1"/>
    <xf numFmtId="165" fontId="71" fillId="4" borderId="0" xfId="10" applyNumberFormat="1" applyFont="1" applyFill="1" applyBorder="1"/>
    <xf numFmtId="0" fontId="88" fillId="0" borderId="0" xfId="21" applyFont="1" applyAlignment="1">
      <alignment horizontal="center" wrapText="1"/>
    </xf>
    <xf numFmtId="164" fontId="33" fillId="0" borderId="0" xfId="15" applyNumberFormat="1"/>
    <xf numFmtId="168" fontId="33" fillId="0" borderId="0" xfId="15" applyNumberFormat="1"/>
    <xf numFmtId="0" fontId="34" fillId="0" borderId="1" xfId="17" applyBorder="1" applyAlignment="1">
      <alignment horizontal="left" vertical="top"/>
    </xf>
    <xf numFmtId="0" fontId="34" fillId="0" borderId="7" xfId="17" applyBorder="1" applyAlignment="1">
      <alignment horizontal="left" vertical="top"/>
    </xf>
    <xf numFmtId="0" fontId="34" fillId="0" borderId="4" xfId="17" applyBorder="1" applyAlignment="1">
      <alignment horizontal="left" vertical="top"/>
    </xf>
    <xf numFmtId="164" fontId="50" fillId="0" borderId="0" xfId="0" applyNumberFormat="1" applyFont="1" applyAlignment="1">
      <alignment horizontal="center" vertical="center"/>
    </xf>
    <xf numFmtId="164" fontId="49" fillId="3" borderId="0" xfId="14" applyNumberFormat="1" applyFont="1" applyFill="1" applyAlignment="1">
      <alignment horizontal="center" vertical="center"/>
    </xf>
    <xf numFmtId="164" fontId="50" fillId="0" borderId="5" xfId="9" applyNumberFormat="1" applyFont="1" applyFill="1" applyBorder="1" applyAlignment="1">
      <alignment horizontal="center" vertical="center"/>
    </xf>
    <xf numFmtId="164" fontId="49" fillId="3" borderId="5" xfId="14" applyNumberFormat="1" applyFont="1" applyFill="1" applyBorder="1" applyAlignment="1">
      <alignment horizontal="center" vertical="center"/>
    </xf>
    <xf numFmtId="0" fontId="64" fillId="0" borderId="2" xfId="15" applyFont="1" applyBorder="1" applyAlignment="1">
      <alignment horizontal="center"/>
    </xf>
    <xf numFmtId="0" fontId="64" fillId="0" borderId="0" xfId="15" applyFont="1" applyAlignment="1">
      <alignment horizontal="center"/>
    </xf>
    <xf numFmtId="0" fontId="51" fillId="0" borderId="0" xfId="0" applyFont="1" applyAlignment="1">
      <alignment horizontal="right"/>
    </xf>
    <xf numFmtId="0" fontId="36" fillId="0" borderId="0" xfId="0" applyFont="1" applyAlignment="1">
      <alignment horizontal="right"/>
    </xf>
    <xf numFmtId="44" fontId="1" fillId="3" borderId="6" xfId="4" applyFont="1" applyFill="1" applyBorder="1" applyAlignment="1">
      <alignment horizontal="right"/>
    </xf>
    <xf numFmtId="10" fontId="34" fillId="0" borderId="0" xfId="30" applyNumberFormat="1" applyFont="1" applyAlignment="1">
      <alignment horizontal="left" vertical="top"/>
    </xf>
    <xf numFmtId="0" fontId="2" fillId="0" borderId="7" xfId="22" applyFont="1" applyBorder="1" applyAlignment="1">
      <alignment horizontal="left"/>
    </xf>
    <xf numFmtId="0" fontId="101" fillId="0" borderId="7" xfId="22" applyFont="1" applyBorder="1"/>
    <xf numFmtId="164" fontId="101" fillId="0" borderId="0" xfId="22" applyNumberFormat="1" applyFont="1" applyAlignment="1">
      <alignment horizontal="right"/>
    </xf>
    <xf numFmtId="2" fontId="101" fillId="0" borderId="11" xfId="22" applyNumberFormat="1" applyFont="1" applyBorder="1"/>
    <xf numFmtId="165" fontId="101" fillId="0" borderId="8" xfId="6" applyNumberFormat="1" applyFont="1" applyBorder="1" applyAlignment="1">
      <alignment horizontal="right"/>
    </xf>
    <xf numFmtId="5" fontId="101" fillId="0" borderId="7" xfId="22" applyNumberFormat="1" applyFont="1" applyBorder="1"/>
    <xf numFmtId="6" fontId="101" fillId="0" borderId="0" xfId="29" applyNumberFormat="1" applyFont="1" applyAlignment="1">
      <alignment horizontal="right" wrapText="1"/>
    </xf>
    <xf numFmtId="4" fontId="101" fillId="0" borderId="0" xfId="22" applyNumberFormat="1" applyFont="1"/>
    <xf numFmtId="42" fontId="101" fillId="0" borderId="8" xfId="22" applyNumberFormat="1" applyFont="1" applyBorder="1"/>
    <xf numFmtId="44" fontId="6" fillId="0" borderId="59" xfId="3" applyNumberFormat="1" applyFont="1" applyFill="1" applyBorder="1" applyAlignment="1">
      <alignment wrapText="1"/>
    </xf>
    <xf numFmtId="10" fontId="54" fillId="0" borderId="8" xfId="30" applyNumberFormat="1" applyFont="1" applyFill="1" applyBorder="1" applyAlignment="1">
      <alignment horizontal="center"/>
    </xf>
    <xf numFmtId="10" fontId="54" fillId="0" borderId="15" xfId="30" applyNumberFormat="1" applyFont="1" applyFill="1" applyBorder="1" applyAlignment="1">
      <alignment horizontal="center"/>
    </xf>
    <xf numFmtId="10" fontId="54" fillId="0" borderId="15" xfId="33" applyNumberFormat="1" applyFont="1" applyFill="1" applyBorder="1" applyAlignment="1">
      <alignment horizontal="center"/>
    </xf>
    <xf numFmtId="165" fontId="0" fillId="0" borderId="0" xfId="4" applyNumberFormat="1" applyFont="1" applyFill="1" applyBorder="1" applyAlignment="1">
      <alignment horizontal="center"/>
    </xf>
    <xf numFmtId="44" fontId="0" fillId="0" borderId="14" xfId="4" applyFont="1" applyFill="1" applyBorder="1" applyAlignment="1">
      <alignment horizontal="center"/>
    </xf>
    <xf numFmtId="9" fontId="54" fillId="0" borderId="15" xfId="30" applyFont="1" applyFill="1" applyBorder="1" applyAlignment="1">
      <alignment horizontal="center"/>
    </xf>
    <xf numFmtId="165" fontId="37" fillId="0" borderId="0" xfId="4" applyNumberFormat="1" applyFont="1" applyFill="1" applyBorder="1" applyAlignment="1">
      <alignment horizontal="center"/>
    </xf>
    <xf numFmtId="0" fontId="32" fillId="0" borderId="22" xfId="22" applyFont="1" applyBorder="1" applyAlignment="1">
      <alignment horizontal="left"/>
    </xf>
    <xf numFmtId="44" fontId="7" fillId="0" borderId="0" xfId="22" applyNumberFormat="1" applyFont="1" applyAlignment="1">
      <alignment horizontal="center"/>
    </xf>
    <xf numFmtId="0" fontId="5" fillId="0" borderId="36" xfId="0" applyFont="1" applyBorder="1" applyAlignment="1">
      <alignment horizontal="center"/>
    </xf>
    <xf numFmtId="0" fontId="78" fillId="0" borderId="8" xfId="0" applyFont="1" applyBorder="1" applyAlignment="1">
      <alignment horizontal="center"/>
    </xf>
    <xf numFmtId="0" fontId="0" fillId="0" borderId="0" xfId="0" applyAlignment="1">
      <alignment wrapText="1"/>
    </xf>
    <xf numFmtId="0" fontId="66" fillId="0" borderId="0" xfId="17" applyFont="1"/>
    <xf numFmtId="165" fontId="90" fillId="4" borderId="0" xfId="10" applyNumberFormat="1" applyFont="1" applyFill="1" applyBorder="1"/>
    <xf numFmtId="165" fontId="71" fillId="4" borderId="0" xfId="21" applyNumberFormat="1" applyFont="1" applyFill="1"/>
    <xf numFmtId="165" fontId="2" fillId="4" borderId="0" xfId="10" applyNumberFormat="1" applyFont="1" applyFill="1" applyBorder="1"/>
    <xf numFmtId="165" fontId="95" fillId="0" borderId="0" xfId="10" applyNumberFormat="1" applyFont="1" applyFill="1" applyBorder="1"/>
    <xf numFmtId="0" fontId="96" fillId="0" borderId="0" xfId="17" applyFont="1" applyAlignment="1">
      <alignment horizontal="left" vertical="center"/>
    </xf>
    <xf numFmtId="0" fontId="50" fillId="0" borderId="0" xfId="21" applyFont="1" applyAlignment="1">
      <alignment vertical="center"/>
    </xf>
    <xf numFmtId="14" fontId="96" fillId="0" borderId="0" xfId="17" applyNumberFormat="1" applyFont="1" applyAlignment="1">
      <alignment horizontal="left" vertical="center"/>
    </xf>
    <xf numFmtId="0" fontId="96" fillId="0" borderId="0" xfId="17" applyFont="1" applyAlignment="1">
      <alignment horizontal="left" vertical="top"/>
    </xf>
    <xf numFmtId="0" fontId="102" fillId="0" borderId="0" xfId="17" applyFont="1" applyAlignment="1">
      <alignment horizontal="left" vertical="center"/>
    </xf>
    <xf numFmtId="14" fontId="102" fillId="0" borderId="0" xfId="17" applyNumberFormat="1" applyFont="1" applyAlignment="1">
      <alignment horizontal="left" vertical="center"/>
    </xf>
    <xf numFmtId="0" fontId="50" fillId="4" borderId="10" xfId="21" applyFont="1" applyFill="1" applyBorder="1"/>
    <xf numFmtId="165" fontId="50" fillId="4" borderId="0" xfId="21" applyNumberFormat="1" applyFont="1" applyFill="1"/>
    <xf numFmtId="165" fontId="50" fillId="4" borderId="18" xfId="10" applyNumberFormat="1" applyFont="1" applyFill="1" applyBorder="1"/>
    <xf numFmtId="0" fontId="50" fillId="4" borderId="0" xfId="21" applyFont="1" applyFill="1"/>
    <xf numFmtId="170" fontId="96" fillId="0" borderId="0" xfId="1" applyNumberFormat="1" applyFont="1" applyFill="1"/>
    <xf numFmtId="0" fontId="96" fillId="0" borderId="0" xfId="17" applyFont="1"/>
    <xf numFmtId="10" fontId="96" fillId="0" borderId="0" xfId="30" applyNumberFormat="1" applyFont="1" applyAlignment="1">
      <alignment horizontal="right" vertical="top"/>
    </xf>
    <xf numFmtId="0" fontId="50" fillId="0" borderId="0" xfId="21" applyFont="1"/>
    <xf numFmtId="172" fontId="102" fillId="0" borderId="7" xfId="10" applyNumberFormat="1" applyFont="1" applyBorder="1"/>
    <xf numFmtId="2" fontId="51" fillId="4" borderId="14" xfId="21" applyNumberFormat="1" applyFont="1" applyFill="1" applyBorder="1"/>
    <xf numFmtId="165" fontId="51" fillId="4" borderId="8" xfId="10" applyNumberFormat="1" applyFont="1" applyFill="1" applyBorder="1"/>
    <xf numFmtId="0" fontId="49" fillId="0" borderId="10" xfId="21" applyFont="1" applyBorder="1" applyAlignment="1">
      <alignment horizontal="center"/>
    </xf>
    <xf numFmtId="0" fontId="102" fillId="0" borderId="12" xfId="17" applyFont="1" applyBorder="1"/>
    <xf numFmtId="172" fontId="80" fillId="4" borderId="7" xfId="21" applyNumberFormat="1" applyFont="1" applyFill="1" applyBorder="1"/>
    <xf numFmtId="2" fontId="51" fillId="4" borderId="0" xfId="21" applyNumberFormat="1" applyFont="1" applyFill="1"/>
    <xf numFmtId="172" fontId="96" fillId="4" borderId="7" xfId="10" applyNumberFormat="1" applyFont="1" applyFill="1" applyBorder="1"/>
    <xf numFmtId="165" fontId="96" fillId="4" borderId="0" xfId="10" applyNumberFormat="1" applyFont="1" applyFill="1" applyBorder="1"/>
    <xf numFmtId="176" fontId="80" fillId="4" borderId="7" xfId="21" applyNumberFormat="1" applyFont="1" applyFill="1" applyBorder="1"/>
    <xf numFmtId="2" fontId="51" fillId="0" borderId="0" xfId="21" applyNumberFormat="1" applyFont="1"/>
    <xf numFmtId="0" fontId="105" fillId="4" borderId="9" xfId="21" applyFont="1" applyFill="1" applyBorder="1"/>
    <xf numFmtId="2" fontId="105" fillId="4" borderId="10" xfId="21" applyNumberFormat="1" applyFont="1" applyFill="1" applyBorder="1"/>
    <xf numFmtId="165" fontId="105" fillId="4" borderId="12" xfId="10" applyNumberFormat="1" applyFont="1" applyFill="1" applyBorder="1"/>
    <xf numFmtId="0" fontId="106" fillId="4" borderId="7" xfId="21" applyFont="1" applyFill="1" applyBorder="1"/>
    <xf numFmtId="10" fontId="106" fillId="4" borderId="0" xfId="21" applyNumberFormat="1" applyFont="1" applyFill="1"/>
    <xf numFmtId="165" fontId="105" fillId="4" borderId="8" xfId="10" applyNumberFormat="1" applyFont="1" applyFill="1" applyBorder="1"/>
    <xf numFmtId="176" fontId="51" fillId="4" borderId="7" xfId="21" applyNumberFormat="1" applyFont="1" applyFill="1" applyBorder="1"/>
    <xf numFmtId="165" fontId="51" fillId="4" borderId="0" xfId="21" applyNumberFormat="1" applyFont="1" applyFill="1"/>
    <xf numFmtId="0" fontId="80" fillId="4" borderId="9" xfId="21" applyFont="1" applyFill="1" applyBorder="1"/>
    <xf numFmtId="0" fontId="80" fillId="4" borderId="10" xfId="21" applyFont="1" applyFill="1" applyBorder="1"/>
    <xf numFmtId="2" fontId="51" fillId="4" borderId="10" xfId="21" applyNumberFormat="1" applyFont="1" applyFill="1" applyBorder="1"/>
    <xf numFmtId="165" fontId="80" fillId="4" borderId="12" xfId="10" applyNumberFormat="1" applyFont="1" applyFill="1" applyBorder="1"/>
    <xf numFmtId="172" fontId="106" fillId="4" borderId="7" xfId="21" applyNumberFormat="1" applyFont="1" applyFill="1" applyBorder="1"/>
    <xf numFmtId="165" fontId="106" fillId="4" borderId="8" xfId="21" applyNumberFormat="1" applyFont="1" applyFill="1" applyBorder="1"/>
    <xf numFmtId="0" fontId="80" fillId="4" borderId="7" xfId="21" applyFont="1" applyFill="1" applyBorder="1"/>
    <xf numFmtId="0" fontId="80" fillId="4" borderId="0" xfId="21" applyFont="1" applyFill="1"/>
    <xf numFmtId="165" fontId="80" fillId="4" borderId="8" xfId="10" applyNumberFormat="1" applyFont="1" applyFill="1" applyBorder="1"/>
    <xf numFmtId="0" fontId="51" fillId="4" borderId="7" xfId="21" applyFont="1" applyFill="1" applyBorder="1"/>
    <xf numFmtId="0" fontId="51" fillId="4" borderId="0" xfId="21" applyFont="1" applyFill="1"/>
    <xf numFmtId="10" fontId="51" fillId="4" borderId="0" xfId="21" applyNumberFormat="1" applyFont="1" applyFill="1"/>
    <xf numFmtId="0" fontId="106" fillId="4" borderId="16" xfId="21" applyFont="1" applyFill="1" applyBorder="1"/>
    <xf numFmtId="10" fontId="106" fillId="4" borderId="17" xfId="21" applyNumberFormat="1" applyFont="1" applyFill="1" applyBorder="1"/>
    <xf numFmtId="0" fontId="105" fillId="4" borderId="37" xfId="21" applyFont="1" applyFill="1" applyBorder="1"/>
    <xf numFmtId="0" fontId="105" fillId="4" borderId="38" xfId="21" applyFont="1" applyFill="1" applyBorder="1"/>
    <xf numFmtId="165" fontId="105" fillId="4" borderId="39" xfId="10" applyNumberFormat="1" applyFont="1" applyFill="1" applyBorder="1"/>
    <xf numFmtId="0" fontId="106" fillId="4" borderId="30" xfId="21" applyFont="1" applyFill="1" applyBorder="1"/>
    <xf numFmtId="10" fontId="106" fillId="4" borderId="31" xfId="21" applyNumberFormat="1" applyFont="1" applyFill="1" applyBorder="1"/>
    <xf numFmtId="165" fontId="106" fillId="4" borderId="32" xfId="10" applyNumberFormat="1" applyFont="1" applyFill="1" applyBorder="1"/>
    <xf numFmtId="172" fontId="51" fillId="4" borderId="0" xfId="21" applyNumberFormat="1" applyFont="1" applyFill="1"/>
    <xf numFmtId="165" fontId="51" fillId="4" borderId="23" xfId="21" applyNumberFormat="1" applyFont="1" applyFill="1" applyBorder="1"/>
    <xf numFmtId="0" fontId="105" fillId="4" borderId="19" xfId="21" applyFont="1" applyFill="1" applyBorder="1"/>
    <xf numFmtId="10" fontId="105" fillId="4" borderId="20" xfId="21" applyNumberFormat="1" applyFont="1" applyFill="1" applyBorder="1"/>
    <xf numFmtId="165" fontId="105" fillId="4" borderId="21" xfId="10" applyNumberFormat="1" applyFont="1" applyFill="1" applyBorder="1"/>
    <xf numFmtId="172" fontId="107" fillId="4" borderId="4" xfId="21" applyNumberFormat="1" applyFont="1" applyFill="1" applyBorder="1"/>
    <xf numFmtId="10" fontId="108" fillId="4" borderId="5" xfId="21" applyNumberFormat="1" applyFont="1" applyFill="1" applyBorder="1"/>
    <xf numFmtId="165" fontId="107" fillId="3" borderId="6" xfId="10" applyNumberFormat="1" applyFont="1" applyFill="1" applyBorder="1"/>
    <xf numFmtId="0" fontId="51" fillId="4" borderId="16" xfId="21" applyFont="1" applyFill="1" applyBorder="1"/>
    <xf numFmtId="0" fontId="51" fillId="4" borderId="17" xfId="21" applyFont="1" applyFill="1" applyBorder="1"/>
    <xf numFmtId="10" fontId="51" fillId="4" borderId="17" xfId="21" applyNumberFormat="1" applyFont="1" applyFill="1" applyBorder="1"/>
    <xf numFmtId="0" fontId="80" fillId="4" borderId="37" xfId="21" applyFont="1" applyFill="1" applyBorder="1"/>
    <xf numFmtId="0" fontId="80" fillId="4" borderId="38" xfId="21" applyFont="1" applyFill="1" applyBorder="1"/>
    <xf numFmtId="165" fontId="80" fillId="4" borderId="39" xfId="10" applyNumberFormat="1" applyFont="1" applyFill="1" applyBorder="1"/>
    <xf numFmtId="0" fontId="51" fillId="4" borderId="30" xfId="21" applyFont="1" applyFill="1" applyBorder="1"/>
    <xf numFmtId="0" fontId="51" fillId="4" borderId="31" xfId="21" applyFont="1" applyFill="1" applyBorder="1"/>
    <xf numFmtId="10" fontId="51" fillId="4" borderId="31" xfId="21" applyNumberFormat="1" applyFont="1" applyFill="1" applyBorder="1"/>
    <xf numFmtId="165" fontId="51" fillId="4" borderId="32" xfId="10" applyNumberFormat="1" applyFont="1" applyFill="1" applyBorder="1"/>
    <xf numFmtId="0" fontId="80" fillId="4" borderId="19" xfId="21" applyFont="1" applyFill="1" applyBorder="1"/>
    <xf numFmtId="0" fontId="80" fillId="4" borderId="20" xfId="21" applyFont="1" applyFill="1" applyBorder="1"/>
    <xf numFmtId="10" fontId="80" fillId="4" borderId="20" xfId="21" applyNumberFormat="1" applyFont="1" applyFill="1" applyBorder="1"/>
    <xf numFmtId="165" fontId="80" fillId="4" borderId="21" xfId="10" applyNumberFormat="1" applyFont="1" applyFill="1" applyBorder="1"/>
    <xf numFmtId="172" fontId="49" fillId="4" borderId="4" xfId="21" applyNumberFormat="1" applyFont="1" applyFill="1" applyBorder="1"/>
    <xf numFmtId="172" fontId="49" fillId="4" borderId="5" xfId="21" applyNumberFormat="1" applyFont="1" applyFill="1" applyBorder="1"/>
    <xf numFmtId="10" fontId="81" fillId="4" borderId="5" xfId="21" applyNumberFormat="1" applyFont="1" applyFill="1" applyBorder="1"/>
    <xf numFmtId="165" fontId="49" fillId="3" borderId="6" xfId="10" applyNumberFormat="1" applyFont="1" applyFill="1" applyBorder="1"/>
    <xf numFmtId="172" fontId="107" fillId="0" borderId="0" xfId="21" applyNumberFormat="1" applyFont="1"/>
    <xf numFmtId="10" fontId="108" fillId="0" borderId="0" xfId="21" applyNumberFormat="1" applyFont="1"/>
    <xf numFmtId="165" fontId="107" fillId="0" borderId="0" xfId="10" applyNumberFormat="1" applyFont="1" applyFill="1" applyBorder="1"/>
    <xf numFmtId="165" fontId="96" fillId="4" borderId="0" xfId="4" applyNumberFormat="1" applyFont="1" applyFill="1" applyBorder="1"/>
    <xf numFmtId="165" fontId="51" fillId="4" borderId="0" xfId="4" applyNumberFormat="1" applyFont="1" applyFill="1" applyBorder="1"/>
    <xf numFmtId="165" fontId="106" fillId="4" borderId="12" xfId="21" applyNumberFormat="1" applyFont="1" applyFill="1" applyBorder="1"/>
    <xf numFmtId="172" fontId="51" fillId="4" borderId="7" xfId="21" applyNumberFormat="1" applyFont="1" applyFill="1" applyBorder="1"/>
    <xf numFmtId="165" fontId="51" fillId="4" borderId="12" xfId="21" applyNumberFormat="1" applyFont="1" applyFill="1" applyBorder="1"/>
    <xf numFmtId="43" fontId="51" fillId="4" borderId="14" xfId="1" applyFont="1" applyFill="1" applyBorder="1"/>
    <xf numFmtId="43" fontId="51" fillId="4" borderId="0" xfId="1" applyFont="1" applyFill="1" applyBorder="1"/>
    <xf numFmtId="165" fontId="51" fillId="4" borderId="10" xfId="4" applyNumberFormat="1" applyFont="1" applyFill="1" applyBorder="1"/>
    <xf numFmtId="43" fontId="51" fillId="4" borderId="10" xfId="1" applyFont="1" applyFill="1" applyBorder="1"/>
    <xf numFmtId="165" fontId="106" fillId="4" borderId="23" xfId="21" applyNumberFormat="1" applyFont="1" applyFill="1" applyBorder="1"/>
    <xf numFmtId="165" fontId="80" fillId="4" borderId="23" xfId="10" applyNumberFormat="1" applyFont="1" applyFill="1" applyBorder="1"/>
    <xf numFmtId="0" fontId="67" fillId="17" borderId="40" xfId="17" applyFont="1" applyFill="1" applyBorder="1" applyAlignment="1">
      <alignment vertical="center"/>
    </xf>
    <xf numFmtId="0" fontId="68" fillId="17" borderId="49" xfId="17" applyFont="1" applyFill="1" applyBorder="1" applyAlignment="1">
      <alignment horizontal="center" vertical="center"/>
    </xf>
    <xf numFmtId="0" fontId="68" fillId="17" borderId="29" xfId="17" applyFont="1" applyFill="1" applyBorder="1" applyAlignment="1">
      <alignment horizontal="center" vertical="center"/>
    </xf>
    <xf numFmtId="176" fontId="69" fillId="17" borderId="36" xfId="10" applyNumberFormat="1" applyFont="1" applyFill="1" applyBorder="1" applyAlignment="1">
      <alignment horizontal="left"/>
    </xf>
    <xf numFmtId="10" fontId="69" fillId="17" borderId="41" xfId="36" applyNumberFormat="1" applyFont="1" applyFill="1" applyBorder="1" applyAlignment="1">
      <alignment horizontal="center" vertical="center"/>
    </xf>
    <xf numFmtId="0" fontId="69" fillId="17" borderId="12" xfId="17" applyFont="1" applyFill="1" applyBorder="1"/>
    <xf numFmtId="176" fontId="66" fillId="17" borderId="50" xfId="10" applyNumberFormat="1" applyFont="1" applyFill="1" applyBorder="1" applyAlignment="1">
      <alignment horizontal="left"/>
    </xf>
    <xf numFmtId="10" fontId="69" fillId="17" borderId="51" xfId="36" applyNumberFormat="1" applyFont="1" applyFill="1" applyBorder="1" applyAlignment="1">
      <alignment horizontal="center" vertical="center"/>
    </xf>
    <xf numFmtId="0" fontId="69" fillId="17" borderId="8" xfId="17" applyFont="1" applyFill="1" applyBorder="1"/>
    <xf numFmtId="172" fontId="69" fillId="17" borderId="50" xfId="10" applyNumberFormat="1" applyFont="1" applyFill="1" applyBorder="1" applyAlignment="1">
      <alignment horizontal="right"/>
    </xf>
    <xf numFmtId="5" fontId="71" fillId="17" borderId="51" xfId="10" applyNumberFormat="1" applyFont="1" applyFill="1" applyBorder="1" applyAlignment="1">
      <alignment horizontal="center" vertical="center"/>
    </xf>
    <xf numFmtId="0" fontId="71" fillId="17" borderId="8" xfId="17" applyFont="1" applyFill="1" applyBorder="1"/>
    <xf numFmtId="5" fontId="69" fillId="17" borderId="51" xfId="17" applyNumberFormat="1" applyFont="1" applyFill="1" applyBorder="1" applyAlignment="1">
      <alignment horizontal="center" vertical="center"/>
    </xf>
    <xf numFmtId="172" fontId="69" fillId="17" borderId="7" xfId="10" applyNumberFormat="1" applyFont="1" applyFill="1" applyBorder="1" applyAlignment="1">
      <alignment horizontal="right"/>
    </xf>
    <xf numFmtId="5" fontId="69" fillId="17" borderId="0" xfId="17" applyNumberFormat="1" applyFont="1" applyFill="1" applyAlignment="1">
      <alignment horizontal="center" vertical="center"/>
    </xf>
    <xf numFmtId="172" fontId="69" fillId="17" borderId="52" xfId="10" applyNumberFormat="1" applyFont="1" applyFill="1" applyBorder="1"/>
    <xf numFmtId="10" fontId="69" fillId="17" borderId="53" xfId="36" applyNumberFormat="1" applyFont="1" applyFill="1" applyBorder="1" applyAlignment="1">
      <alignment horizontal="center" vertical="center"/>
    </xf>
    <xf numFmtId="0" fontId="69" fillId="17" borderId="6" xfId="17" applyFont="1" applyFill="1" applyBorder="1"/>
    <xf numFmtId="0" fontId="69" fillId="17" borderId="4" xfId="17" applyFont="1" applyFill="1" applyBorder="1"/>
    <xf numFmtId="10" fontId="69" fillId="17" borderId="53" xfId="17" applyNumberFormat="1" applyFont="1" applyFill="1" applyBorder="1" applyAlignment="1">
      <alignment horizontal="center" vertical="center"/>
    </xf>
    <xf numFmtId="0" fontId="71" fillId="17" borderId="6" xfId="17" applyFont="1" applyFill="1" applyBorder="1"/>
    <xf numFmtId="165" fontId="71" fillId="0" borderId="51" xfId="10" applyNumberFormat="1" applyFont="1" applyBorder="1" applyAlignment="1">
      <alignment horizontal="center" vertical="center"/>
    </xf>
    <xf numFmtId="165" fontId="69" fillId="0" borderId="51" xfId="17" applyNumberFormat="1" applyFont="1" applyBorder="1" applyAlignment="1">
      <alignment horizontal="center" vertical="center"/>
    </xf>
    <xf numFmtId="44" fontId="0" fillId="0" borderId="0" xfId="4" applyFont="1" applyFill="1" applyBorder="1" applyAlignment="1">
      <alignment horizontal="center"/>
    </xf>
    <xf numFmtId="168" fontId="36" fillId="0" borderId="0" xfId="0" applyNumberFormat="1" applyFont="1"/>
    <xf numFmtId="0" fontId="111" fillId="0" borderId="0" xfId="0" applyFont="1"/>
    <xf numFmtId="177" fontId="16" fillId="0" borderId="0" xfId="22" applyNumberFormat="1" applyFont="1" applyAlignment="1">
      <alignment horizontal="center"/>
    </xf>
    <xf numFmtId="0" fontId="112" fillId="0" borderId="0" xfId="0" applyFont="1"/>
    <xf numFmtId="0" fontId="113" fillId="0" borderId="0" xfId="0" applyFont="1" applyAlignment="1">
      <alignment horizontal="left"/>
    </xf>
    <xf numFmtId="0" fontId="113" fillId="0" borderId="69" xfId="22" applyFont="1" applyBorder="1" applyAlignment="1">
      <alignment horizontal="left"/>
    </xf>
    <xf numFmtId="0" fontId="113" fillId="0" borderId="70" xfId="22" applyFont="1" applyBorder="1" applyAlignment="1">
      <alignment horizontal="left"/>
    </xf>
    <xf numFmtId="0" fontId="113" fillId="0" borderId="71" xfId="22" applyFont="1" applyBorder="1" applyAlignment="1">
      <alignment horizontal="left"/>
    </xf>
    <xf numFmtId="0" fontId="113" fillId="0" borderId="0" xfId="22" applyFont="1" applyAlignment="1">
      <alignment horizontal="left"/>
    </xf>
    <xf numFmtId="0" fontId="114" fillId="0" borderId="0" xfId="17" applyFont="1" applyAlignment="1">
      <alignment horizontal="left" vertical="top"/>
    </xf>
    <xf numFmtId="0" fontId="38" fillId="0" borderId="0" xfId="0" applyFont="1" applyAlignment="1">
      <alignment vertical="center" wrapText="1"/>
    </xf>
    <xf numFmtId="0" fontId="9" fillId="0" borderId="0" xfId="39"/>
    <xf numFmtId="0" fontId="15" fillId="2" borderId="0" xfId="39" applyFont="1" applyFill="1"/>
    <xf numFmtId="0" fontId="6" fillId="2" borderId="8" xfId="39" applyFont="1" applyFill="1" applyBorder="1"/>
    <xf numFmtId="0" fontId="16" fillId="2" borderId="5" xfId="39" applyFont="1" applyFill="1" applyBorder="1"/>
    <xf numFmtId="0" fontId="6" fillId="2" borderId="6" xfId="39" applyFont="1" applyFill="1" applyBorder="1"/>
    <xf numFmtId="0" fontId="6" fillId="0" borderId="0" xfId="39" applyFont="1"/>
    <xf numFmtId="0" fontId="9" fillId="5" borderId="0" xfId="39" applyFill="1"/>
    <xf numFmtId="0" fontId="9" fillId="18" borderId="0" xfId="39" applyFill="1"/>
    <xf numFmtId="14" fontId="6" fillId="0" borderId="0" xfId="39" applyNumberFormat="1" applyFont="1"/>
    <xf numFmtId="174" fontId="9" fillId="0" borderId="0" xfId="39" applyNumberFormat="1"/>
    <xf numFmtId="0" fontId="6" fillId="0" borderId="0" xfId="40" applyFont="1"/>
    <xf numFmtId="0" fontId="9" fillId="0" borderId="0" xfId="40"/>
    <xf numFmtId="0" fontId="52" fillId="0" borderId="0" xfId="40" applyFont="1"/>
    <xf numFmtId="0" fontId="53" fillId="0" borderId="0" xfId="40" applyFont="1"/>
    <xf numFmtId="0" fontId="9" fillId="0" borderId="42" xfId="40" applyBorder="1"/>
    <xf numFmtId="0" fontId="9" fillId="0" borderId="14" xfId="40" applyBorder="1"/>
    <xf numFmtId="0" fontId="9" fillId="0" borderId="43" xfId="40" applyBorder="1"/>
    <xf numFmtId="0" fontId="9" fillId="0" borderId="44" xfId="40" applyBorder="1"/>
    <xf numFmtId="0" fontId="9" fillId="0" borderId="0" xfId="40" applyAlignment="1">
      <alignment horizontal="right"/>
    </xf>
    <xf numFmtId="0" fontId="6" fillId="0" borderId="0" xfId="40" applyFont="1" applyAlignment="1">
      <alignment horizontal="center"/>
    </xf>
    <xf numFmtId="0" fontId="9" fillId="0" borderId="45" xfId="40" applyBorder="1"/>
    <xf numFmtId="14" fontId="6" fillId="0" borderId="0" xfId="41" applyNumberFormat="1" applyFont="1" applyAlignment="1">
      <alignment horizontal="center"/>
    </xf>
    <xf numFmtId="0" fontId="17" fillId="0" borderId="45" xfId="40" applyFont="1" applyBorder="1" applyAlignment="1">
      <alignment horizontal="center"/>
    </xf>
    <xf numFmtId="174" fontId="9" fillId="0" borderId="73" xfId="41" applyNumberFormat="1" applyBorder="1"/>
    <xf numFmtId="0" fontId="9" fillId="0" borderId="74" xfId="40" applyBorder="1"/>
    <xf numFmtId="174" fontId="9" fillId="0" borderId="45" xfId="40" applyNumberFormat="1" applyBorder="1" applyAlignment="1">
      <alignment horizontal="center"/>
    </xf>
    <xf numFmtId="0" fontId="9" fillId="0" borderId="44" xfId="40" applyBorder="1" applyAlignment="1">
      <alignment horizontal="right"/>
    </xf>
    <xf numFmtId="0" fontId="6" fillId="0" borderId="0" xfId="42" applyFont="1" applyAlignment="1">
      <alignment horizontal="center"/>
    </xf>
    <xf numFmtId="0" fontId="6" fillId="5" borderId="0" xfId="39" applyFont="1" applyFill="1" applyAlignment="1">
      <alignment horizontal="center"/>
    </xf>
    <xf numFmtId="0" fontId="6" fillId="18" borderId="0" xfId="39" applyFont="1" applyFill="1" applyAlignment="1">
      <alignment horizontal="center"/>
    </xf>
    <xf numFmtId="174" fontId="9" fillId="0" borderId="75" xfId="41" applyNumberFormat="1" applyBorder="1"/>
    <xf numFmtId="0" fontId="9" fillId="0" borderId="45" xfId="40" applyBorder="1" applyAlignment="1">
      <alignment horizontal="center"/>
    </xf>
    <xf numFmtId="0" fontId="6" fillId="3" borderId="0" xfId="40" applyFont="1" applyFill="1" applyAlignment="1">
      <alignment horizontal="right"/>
    </xf>
    <xf numFmtId="10" fontId="6" fillId="3" borderId="45" xfId="43" applyNumberFormat="1" applyFont="1" applyFill="1" applyBorder="1" applyAlignment="1">
      <alignment horizontal="center"/>
    </xf>
    <xf numFmtId="0" fontId="9" fillId="0" borderId="46" xfId="40" applyBorder="1"/>
    <xf numFmtId="0" fontId="9" fillId="0" borderId="11" xfId="40" applyBorder="1"/>
    <xf numFmtId="0" fontId="9" fillId="0" borderId="47" xfId="40" applyBorder="1"/>
    <xf numFmtId="10" fontId="33" fillId="0" borderId="0" xfId="30" applyNumberFormat="1"/>
    <xf numFmtId="0" fontId="37" fillId="0" borderId="1" xfId="0" applyFont="1" applyBorder="1" applyAlignment="1">
      <alignment horizontal="center"/>
    </xf>
    <xf numFmtId="0" fontId="37" fillId="0" borderId="2" xfId="0" applyFont="1" applyBorder="1" applyAlignment="1">
      <alignment horizontal="center" wrapText="1"/>
    </xf>
    <xf numFmtId="0" fontId="37" fillId="0" borderId="3" xfId="0" applyFont="1" applyBorder="1" applyAlignment="1">
      <alignment horizontal="center"/>
    </xf>
    <xf numFmtId="0" fontId="37" fillId="0" borderId="7" xfId="0" applyFont="1" applyBorder="1"/>
    <xf numFmtId="0" fontId="0" fillId="0" borderId="11" xfId="0" applyBorder="1" applyAlignment="1">
      <alignment horizontal="center"/>
    </xf>
    <xf numFmtId="44" fontId="0" fillId="0" borderId="0" xfId="0" applyNumberFormat="1" applyAlignment="1">
      <alignment horizontal="center"/>
    </xf>
    <xf numFmtId="44" fontId="37" fillId="0" borderId="0" xfId="0" applyNumberFormat="1" applyFont="1" applyAlignment="1">
      <alignment horizontal="center"/>
    </xf>
    <xf numFmtId="0" fontId="37" fillId="0" borderId="13" xfId="0" applyFont="1" applyBorder="1"/>
    <xf numFmtId="0" fontId="0" fillId="0" borderId="14" xfId="0" applyBorder="1" applyAlignment="1">
      <alignment horizontal="center"/>
    </xf>
    <xf numFmtId="0" fontId="0" fillId="0" borderId="7" xfId="0" applyBorder="1" applyAlignment="1">
      <alignment horizontal="right" wrapText="1"/>
    </xf>
    <xf numFmtId="168" fontId="54" fillId="0" borderId="0" xfId="0" applyNumberFormat="1" applyFont="1" applyAlignment="1">
      <alignment horizontal="center"/>
    </xf>
    <xf numFmtId="168" fontId="55" fillId="0" borderId="0" xfId="14" applyNumberFormat="1" applyFont="1" applyAlignment="1">
      <alignment horizontal="center"/>
    </xf>
    <xf numFmtId="10" fontId="54" fillId="0" borderId="8" xfId="33" applyNumberFormat="1" applyFont="1" applyFill="1" applyBorder="1" applyAlignment="1">
      <alignment horizontal="center"/>
    </xf>
    <xf numFmtId="8" fontId="54" fillId="0" borderId="0" xfId="9" applyNumberFormat="1" applyFont="1" applyFill="1" applyBorder="1" applyAlignment="1">
      <alignment horizontal="center"/>
    </xf>
    <xf numFmtId="0" fontId="97" fillId="0" borderId="7" xfId="14" applyFont="1" applyBorder="1" applyAlignment="1">
      <alignment horizontal="right"/>
    </xf>
    <xf numFmtId="168" fontId="54" fillId="0" borderId="0" xfId="14" applyNumberFormat="1" applyFont="1" applyAlignment="1">
      <alignment horizontal="center"/>
    </xf>
    <xf numFmtId="168" fontId="37" fillId="0" borderId="0" xfId="0" applyNumberFormat="1" applyFont="1" applyAlignment="1">
      <alignment horizontal="center"/>
    </xf>
    <xf numFmtId="0" fontId="58" fillId="0" borderId="7" xfId="14" applyFont="1" applyBorder="1" applyAlignment="1">
      <alignment horizontal="right"/>
    </xf>
    <xf numFmtId="0" fontId="98" fillId="0" borderId="7" xfId="0" applyFont="1" applyBorder="1" applyAlignment="1">
      <alignment horizontal="right"/>
    </xf>
    <xf numFmtId="0" fontId="99" fillId="0" borderId="22" xfId="14" applyFont="1" applyBorder="1" applyAlignment="1">
      <alignment horizontal="right"/>
    </xf>
    <xf numFmtId="168" fontId="54" fillId="0" borderId="11" xfId="14" applyNumberFormat="1" applyFont="1" applyBorder="1" applyAlignment="1">
      <alignment horizontal="center"/>
    </xf>
    <xf numFmtId="168" fontId="37" fillId="0" borderId="11" xfId="0" applyNumberFormat="1" applyFont="1" applyBorder="1" applyAlignment="1">
      <alignment horizontal="center"/>
    </xf>
    <xf numFmtId="10" fontId="54" fillId="0" borderId="23" xfId="33" applyNumberFormat="1" applyFont="1" applyFill="1" applyBorder="1" applyAlignment="1">
      <alignment horizontal="center"/>
    </xf>
    <xf numFmtId="168" fontId="0" fillId="0" borderId="0" xfId="0" applyNumberFormat="1" applyAlignment="1">
      <alignment horizontal="center"/>
    </xf>
    <xf numFmtId="0" fontId="37" fillId="0" borderId="22" xfId="0" applyFont="1" applyBorder="1"/>
    <xf numFmtId="168" fontId="0" fillId="0" borderId="11" xfId="0" applyNumberFormat="1" applyBorder="1" applyAlignment="1">
      <alignment horizontal="center"/>
    </xf>
    <xf numFmtId="0" fontId="69" fillId="0" borderId="7" xfId="17" applyFont="1" applyBorder="1" applyAlignment="1">
      <alignment horizontal="left" vertical="top"/>
    </xf>
    <xf numFmtId="165" fontId="55" fillId="0" borderId="0" xfId="4" applyNumberFormat="1" applyFont="1" applyFill="1" applyBorder="1" applyAlignment="1">
      <alignment horizontal="center" vertical="center"/>
    </xf>
    <xf numFmtId="0" fontId="69" fillId="0" borderId="22" xfId="17" applyFont="1" applyBorder="1" applyAlignment="1">
      <alignment horizontal="left" vertical="top"/>
    </xf>
    <xf numFmtId="165" fontId="0" fillId="0" borderId="11" xfId="4" applyNumberFormat="1" applyFont="1" applyFill="1" applyBorder="1" applyAlignment="1">
      <alignment horizontal="center"/>
    </xf>
    <xf numFmtId="165" fontId="55" fillId="0" borderId="11" xfId="4" applyNumberFormat="1" applyFont="1" applyFill="1" applyBorder="1" applyAlignment="1">
      <alignment horizontal="center" vertical="center"/>
    </xf>
    <xf numFmtId="10" fontId="54" fillId="0" borderId="23" xfId="30" applyNumberFormat="1" applyFont="1" applyFill="1" applyBorder="1" applyAlignment="1">
      <alignment horizontal="center"/>
    </xf>
    <xf numFmtId="0" fontId="54" fillId="0" borderId="8" xfId="0" applyFont="1" applyBorder="1" applyAlignment="1">
      <alignment horizontal="center"/>
    </xf>
    <xf numFmtId="0" fontId="0" fillId="0" borderId="7" xfId="15" applyFont="1" applyBorder="1" applyAlignment="1">
      <alignment horizontal="right"/>
    </xf>
    <xf numFmtId="0" fontId="100" fillId="0" borderId="7" xfId="17" applyFont="1" applyBorder="1" applyAlignment="1">
      <alignment horizontal="right" vertical="top"/>
    </xf>
    <xf numFmtId="0" fontId="0" fillId="0" borderId="7" xfId="0" applyBorder="1"/>
    <xf numFmtId="165" fontId="0" fillId="0" borderId="0" xfId="0" applyNumberFormat="1" applyAlignment="1">
      <alignment horizontal="center"/>
    </xf>
    <xf numFmtId="0" fontId="100" fillId="0" borderId="4" xfId="17" applyFont="1" applyBorder="1" applyAlignment="1">
      <alignment horizontal="right" vertical="top"/>
    </xf>
    <xf numFmtId="0" fontId="0" fillId="0" borderId="5" xfId="0" applyBorder="1" applyAlignment="1">
      <alignment horizontal="center"/>
    </xf>
    <xf numFmtId="165" fontId="0" fillId="0" borderId="5" xfId="4" applyNumberFormat="1" applyFont="1" applyFill="1" applyBorder="1" applyAlignment="1">
      <alignment horizontal="center"/>
    </xf>
    <xf numFmtId="165" fontId="37" fillId="0" borderId="5" xfId="4" applyNumberFormat="1" applyFont="1" applyFill="1" applyBorder="1" applyAlignment="1">
      <alignment horizontal="center"/>
    </xf>
    <xf numFmtId="10" fontId="54" fillId="0" borderId="6" xfId="30" applyNumberFormat="1" applyFont="1" applyFill="1" applyBorder="1" applyAlignment="1">
      <alignment horizontal="center"/>
    </xf>
    <xf numFmtId="0" fontId="37" fillId="19" borderId="7" xfId="0" applyFont="1" applyFill="1" applyBorder="1"/>
    <xf numFmtId="0" fontId="0" fillId="19" borderId="0" xfId="0" applyFill="1" applyAlignment="1">
      <alignment horizontal="center"/>
    </xf>
    <xf numFmtId="168" fontId="0" fillId="19" borderId="0" xfId="0" applyNumberFormat="1" applyFill="1" applyAlignment="1">
      <alignment horizontal="center"/>
    </xf>
    <xf numFmtId="168" fontId="37" fillId="19" borderId="0" xfId="0" applyNumberFormat="1" applyFont="1" applyFill="1" applyAlignment="1">
      <alignment horizontal="center"/>
    </xf>
    <xf numFmtId="10" fontId="54" fillId="19" borderId="8" xfId="33" applyNumberFormat="1" applyFont="1" applyFill="1" applyBorder="1" applyAlignment="1">
      <alignment horizontal="center"/>
    </xf>
    <xf numFmtId="0" fontId="38" fillId="0" borderId="0" xfId="0" applyFont="1"/>
    <xf numFmtId="0" fontId="110" fillId="0" borderId="0" xfId="0" applyFont="1"/>
    <xf numFmtId="0" fontId="53" fillId="0" borderId="0" xfId="0" applyFont="1" applyAlignment="1">
      <alignment vertical="center"/>
    </xf>
    <xf numFmtId="2" fontId="2" fillId="0" borderId="0" xfId="0" applyNumberFormat="1" applyFont="1"/>
    <xf numFmtId="165" fontId="2" fillId="0" borderId="8" xfId="6" applyNumberFormat="1" applyFont="1" applyBorder="1" applyAlignment="1">
      <alignment horizontal="right"/>
    </xf>
    <xf numFmtId="172" fontId="51" fillId="0" borderId="7" xfId="21" applyNumberFormat="1" applyFont="1" applyBorder="1" applyAlignment="1">
      <alignment horizontal="left" vertical="top"/>
    </xf>
    <xf numFmtId="172" fontId="51" fillId="0" borderId="0" xfId="21" applyNumberFormat="1" applyFont="1"/>
    <xf numFmtId="165" fontId="50" fillId="0" borderId="0" xfId="21" applyNumberFormat="1" applyFont="1"/>
    <xf numFmtId="165" fontId="51" fillId="0" borderId="23" xfId="21" applyNumberFormat="1" applyFont="1" applyBorder="1"/>
    <xf numFmtId="0" fontId="109" fillId="0" borderId="0" xfId="17" applyFont="1"/>
    <xf numFmtId="0" fontId="67" fillId="0" borderId="0" xfId="17" applyFont="1"/>
    <xf numFmtId="0" fontId="67" fillId="0" borderId="0" xfId="17" applyFont="1" applyAlignment="1">
      <alignment horizontal="left" vertical="top"/>
    </xf>
    <xf numFmtId="172" fontId="69" fillId="0" borderId="7" xfId="10" applyNumberFormat="1" applyFont="1" applyFill="1" applyBorder="1" applyAlignment="1">
      <alignment horizontal="right"/>
    </xf>
    <xf numFmtId="5" fontId="69" fillId="0" borderId="0" xfId="17" applyNumberFormat="1" applyFont="1" applyAlignment="1">
      <alignment horizontal="center" vertical="center"/>
    </xf>
    <xf numFmtId="0" fontId="14" fillId="2" borderId="2" xfId="39" applyFont="1" applyFill="1" applyBorder="1" applyAlignment="1">
      <alignment horizontal="left"/>
    </xf>
    <xf numFmtId="0" fontId="14" fillId="2" borderId="3" xfId="39" applyFont="1" applyFill="1" applyBorder="1" applyAlignment="1">
      <alignment horizontal="left"/>
    </xf>
    <xf numFmtId="0" fontId="9" fillId="0" borderId="44" xfId="40" applyBorder="1" applyAlignment="1">
      <alignment horizontal="right"/>
    </xf>
    <xf numFmtId="0" fontId="9" fillId="0" borderId="0" xfId="40" applyAlignment="1">
      <alignment horizontal="right"/>
    </xf>
    <xf numFmtId="0" fontId="33" fillId="0" borderId="3" xfId="25" applyBorder="1" applyAlignment="1">
      <alignment horizontal="left" vertical="center" wrapText="1"/>
    </xf>
    <xf numFmtId="0" fontId="33" fillId="0" borderId="6" xfId="25" applyBorder="1" applyAlignment="1">
      <alignment horizontal="left" vertical="center" wrapText="1"/>
    </xf>
    <xf numFmtId="0" fontId="33" fillId="0" borderId="2" xfId="25" applyBorder="1" applyAlignment="1">
      <alignment horizontal="left" vertical="top" wrapText="1"/>
    </xf>
    <xf numFmtId="0" fontId="33" fillId="0" borderId="5" xfId="25" applyBorder="1" applyAlignment="1">
      <alignment horizontal="left" vertical="top" wrapText="1"/>
    </xf>
    <xf numFmtId="0" fontId="33" fillId="0" borderId="8" xfId="25" applyBorder="1" applyAlignment="1">
      <alignment horizontal="left" vertical="center" wrapText="1"/>
    </xf>
    <xf numFmtId="49" fontId="33" fillId="0" borderId="3" xfId="25" applyNumberFormat="1" applyBorder="1" applyAlignment="1">
      <alignment horizontal="left" vertical="center" wrapText="1"/>
    </xf>
    <xf numFmtId="49" fontId="33" fillId="0" borderId="6" xfId="25" applyNumberFormat="1" applyBorder="1" applyAlignment="1">
      <alignment horizontal="left" vertical="center" wrapText="1"/>
    </xf>
    <xf numFmtId="0" fontId="33" fillId="0" borderId="2" xfId="25" applyBorder="1" applyAlignment="1">
      <alignment vertical="top" wrapText="1"/>
    </xf>
    <xf numFmtId="0" fontId="33" fillId="0" borderId="5" xfId="25" applyBorder="1" applyAlignment="1">
      <alignment vertical="top" wrapText="1"/>
    </xf>
    <xf numFmtId="0" fontId="33" fillId="0" borderId="0" xfId="25" applyAlignment="1">
      <alignment horizontal="left" vertical="top" wrapText="1"/>
    </xf>
    <xf numFmtId="0" fontId="33" fillId="0" borderId="0" xfId="25" applyAlignment="1">
      <alignment horizontal="center"/>
    </xf>
    <xf numFmtId="0" fontId="86" fillId="0" borderId="0" xfId="25" applyFont="1" applyAlignment="1">
      <alignment horizontal="center"/>
    </xf>
    <xf numFmtId="0" fontId="83" fillId="0" borderId="19" xfId="22" applyFont="1" applyBorder="1" applyAlignment="1">
      <alignment horizontal="center"/>
    </xf>
    <xf numFmtId="0" fontId="0" fillId="0" borderId="20" xfId="0" applyBorder="1"/>
    <xf numFmtId="0" fontId="80" fillId="0" borderId="0" xfId="26" applyFont="1" applyAlignment="1">
      <alignment horizontal="center"/>
    </xf>
    <xf numFmtId="0" fontId="113" fillId="0" borderId="72" xfId="0" applyFont="1" applyBorder="1" applyAlignment="1">
      <alignment horizontal="center" vertical="center" wrapText="1"/>
    </xf>
    <xf numFmtId="0" fontId="5" fillId="8" borderId="1" xfId="22" applyFont="1" applyFill="1" applyBorder="1" applyAlignment="1">
      <alignment horizontal="center"/>
    </xf>
    <xf numFmtId="0" fontId="1" fillId="8" borderId="2" xfId="22" applyFont="1" applyFill="1" applyBorder="1" applyAlignment="1">
      <alignment horizontal="center"/>
    </xf>
    <xf numFmtId="0" fontId="1" fillId="8" borderId="3" xfId="22" applyFont="1" applyFill="1" applyBorder="1" applyAlignment="1">
      <alignment horizontal="center"/>
    </xf>
    <xf numFmtId="0" fontId="5" fillId="8" borderId="2" xfId="22" applyFont="1" applyFill="1" applyBorder="1" applyAlignment="1">
      <alignment horizontal="center"/>
    </xf>
    <xf numFmtId="0" fontId="5" fillId="8" borderId="3" xfId="22" applyFont="1" applyFill="1" applyBorder="1" applyAlignment="1">
      <alignment horizontal="center"/>
    </xf>
    <xf numFmtId="166" fontId="9" fillId="0" borderId="9" xfId="14" applyNumberFormat="1" applyFont="1" applyBorder="1" applyAlignment="1">
      <alignment horizontal="left" wrapText="1"/>
    </xf>
    <xf numFmtId="166" fontId="9" fillId="0" borderId="10" xfId="14" applyNumberFormat="1" applyFont="1" applyBorder="1" applyAlignment="1">
      <alignment horizontal="left" wrapText="1"/>
    </xf>
    <xf numFmtId="0" fontId="1" fillId="10" borderId="1" xfId="22" applyFont="1" applyFill="1" applyBorder="1" applyAlignment="1">
      <alignment horizontal="center"/>
    </xf>
    <xf numFmtId="0" fontId="1" fillId="10" borderId="2" xfId="22" applyFont="1" applyFill="1" applyBorder="1" applyAlignment="1">
      <alignment horizontal="center"/>
    </xf>
    <xf numFmtId="0" fontId="1" fillId="10" borderId="3" xfId="22" applyFont="1" applyFill="1" applyBorder="1" applyAlignment="1">
      <alignment horizontal="center"/>
    </xf>
    <xf numFmtId="166" fontId="9" fillId="4" borderId="54" xfId="14" applyNumberFormat="1" applyFont="1" applyFill="1" applyBorder="1" applyAlignment="1">
      <alignment horizontal="center" wrapText="1"/>
    </xf>
    <xf numFmtId="166" fontId="9" fillId="4" borderId="62" xfId="14" applyNumberFormat="1" applyFont="1" applyFill="1" applyBorder="1" applyAlignment="1">
      <alignment horizontal="center" wrapText="1"/>
    </xf>
    <xf numFmtId="166" fontId="9" fillId="4" borderId="10" xfId="14" applyNumberFormat="1" applyFont="1" applyFill="1" applyBorder="1" applyAlignment="1">
      <alignment horizontal="center" wrapText="1"/>
    </xf>
    <xf numFmtId="0" fontId="84" fillId="0" borderId="7" xfId="14" applyFont="1" applyBorder="1" applyAlignment="1">
      <alignment horizontal="right" wrapText="1"/>
    </xf>
    <xf numFmtId="0" fontId="84" fillId="0" borderId="0" xfId="14" applyFont="1" applyAlignment="1">
      <alignment horizontal="right" wrapText="1"/>
    </xf>
    <xf numFmtId="0" fontId="85" fillId="0" borderId="7" xfId="0" applyFont="1" applyBorder="1" applyAlignment="1">
      <alignment horizontal="right" wrapText="1"/>
    </xf>
    <xf numFmtId="0" fontId="85" fillId="0" borderId="0" xfId="0" applyFont="1" applyAlignment="1">
      <alignment horizontal="right" wrapText="1"/>
    </xf>
    <xf numFmtId="0" fontId="51" fillId="0" borderId="7" xfId="0" applyFont="1" applyBorder="1" applyAlignment="1">
      <alignment horizontal="right" wrapText="1"/>
    </xf>
    <xf numFmtId="0" fontId="51" fillId="0" borderId="0" xfId="0" applyFont="1" applyAlignment="1">
      <alignment horizontal="right" wrapText="1"/>
    </xf>
    <xf numFmtId="0" fontId="1" fillId="15" borderId="1" xfId="22" applyFont="1" applyFill="1" applyBorder="1" applyAlignment="1">
      <alignment horizontal="center"/>
    </xf>
    <xf numFmtId="0" fontId="1" fillId="15" borderId="2" xfId="22" applyFont="1" applyFill="1" applyBorder="1" applyAlignment="1">
      <alignment horizontal="center"/>
    </xf>
    <xf numFmtId="0" fontId="1" fillId="15" borderId="3" xfId="22" applyFont="1" applyFill="1" applyBorder="1" applyAlignment="1">
      <alignment horizontal="center"/>
    </xf>
    <xf numFmtId="0" fontId="1" fillId="15" borderId="19" xfId="22" applyFont="1" applyFill="1" applyBorder="1" applyAlignment="1">
      <alignment horizontal="center"/>
    </xf>
    <xf numFmtId="0" fontId="1" fillId="15" borderId="20" xfId="22" applyFont="1" applyFill="1" applyBorder="1" applyAlignment="1">
      <alignment horizontal="center"/>
    </xf>
    <xf numFmtId="0" fontId="1" fillId="15" borderId="21" xfId="22" applyFont="1" applyFill="1" applyBorder="1" applyAlignment="1">
      <alignment horizontal="center"/>
    </xf>
    <xf numFmtId="0" fontId="1" fillId="10" borderId="19" xfId="22" applyFont="1" applyFill="1" applyBorder="1" applyAlignment="1">
      <alignment horizontal="center"/>
    </xf>
    <xf numFmtId="0" fontId="1" fillId="10" borderId="20" xfId="22" applyFont="1" applyFill="1" applyBorder="1" applyAlignment="1">
      <alignment horizontal="center"/>
    </xf>
    <xf numFmtId="0" fontId="1" fillId="10" borderId="21" xfId="22" applyFont="1" applyFill="1" applyBorder="1" applyAlignment="1">
      <alignment horizontal="center"/>
    </xf>
    <xf numFmtId="0" fontId="49" fillId="0" borderId="9" xfId="21" applyFont="1" applyBorder="1" applyAlignment="1">
      <alignment horizontal="right" wrapText="1"/>
    </xf>
    <xf numFmtId="0" fontId="50" fillId="0" borderId="10" xfId="0" applyFont="1" applyBorder="1" applyAlignment="1">
      <alignment horizontal="right" wrapText="1"/>
    </xf>
    <xf numFmtId="0" fontId="89" fillId="16" borderId="19" xfId="17" applyFont="1" applyFill="1" applyBorder="1" applyAlignment="1">
      <alignment horizontal="center"/>
    </xf>
    <xf numFmtId="0" fontId="89" fillId="16" borderId="20" xfId="17" applyFont="1" applyFill="1" applyBorder="1" applyAlignment="1">
      <alignment horizontal="center"/>
    </xf>
    <xf numFmtId="0" fontId="89" fillId="16" borderId="21" xfId="17" applyFont="1" applyFill="1" applyBorder="1" applyAlignment="1">
      <alignment horizontal="center"/>
    </xf>
    <xf numFmtId="0" fontId="103" fillId="16" borderId="19" xfId="21" applyFont="1" applyFill="1" applyBorder="1" applyAlignment="1">
      <alignment horizontal="center"/>
    </xf>
    <xf numFmtId="0" fontId="103" fillId="16" borderId="20" xfId="21" applyFont="1" applyFill="1" applyBorder="1" applyAlignment="1">
      <alignment horizontal="center"/>
    </xf>
    <xf numFmtId="0" fontId="103" fillId="16" borderId="21" xfId="21" applyFont="1" applyFill="1" applyBorder="1" applyAlignment="1">
      <alignment horizontal="center"/>
    </xf>
    <xf numFmtId="0" fontId="103" fillId="16" borderId="19" xfId="21" applyFont="1" applyFill="1" applyBorder="1" applyAlignment="1">
      <alignment horizontal="center" wrapText="1"/>
    </xf>
    <xf numFmtId="0" fontId="89" fillId="17" borderId="19" xfId="17" applyFont="1" applyFill="1" applyBorder="1" applyAlignment="1">
      <alignment horizontal="center" vertical="center" wrapText="1"/>
    </xf>
    <xf numFmtId="0" fontId="0" fillId="17" borderId="20" xfId="0" applyFill="1" applyBorder="1" applyAlignment="1">
      <alignment horizontal="center" wrapText="1"/>
    </xf>
    <xf numFmtId="0" fontId="0" fillId="17" borderId="21" xfId="0" applyFill="1" applyBorder="1" applyAlignment="1">
      <alignment horizontal="center" wrapText="1"/>
    </xf>
    <xf numFmtId="0" fontId="104" fillId="16" borderId="27" xfId="21" applyFont="1" applyFill="1" applyBorder="1" applyAlignment="1">
      <alignment horizontal="center"/>
    </xf>
    <xf numFmtId="0" fontId="104" fillId="16" borderId="28" xfId="21" applyFont="1" applyFill="1" applyBorder="1" applyAlignment="1">
      <alignment horizontal="center"/>
    </xf>
    <xf numFmtId="0" fontId="51" fillId="0" borderId="29" xfId="0" applyFont="1" applyBorder="1"/>
    <xf numFmtId="0" fontId="104" fillId="16" borderId="1" xfId="21" applyFont="1" applyFill="1" applyBorder="1" applyAlignment="1">
      <alignment horizontal="center"/>
    </xf>
    <xf numFmtId="0" fontId="104" fillId="16" borderId="2" xfId="21" applyFont="1" applyFill="1" applyBorder="1" applyAlignment="1">
      <alignment horizontal="center"/>
    </xf>
    <xf numFmtId="0" fontId="51" fillId="0" borderId="3" xfId="0" applyFont="1" applyBorder="1" applyAlignment="1">
      <alignment horizontal="center"/>
    </xf>
    <xf numFmtId="0" fontId="51" fillId="0" borderId="3" xfId="0" applyFont="1" applyBorder="1"/>
    <xf numFmtId="0" fontId="54" fillId="0" borderId="0" xfId="15" applyFont="1"/>
    <xf numFmtId="0" fontId="54" fillId="0" borderId="8" xfId="15" applyFont="1" applyBorder="1"/>
    <xf numFmtId="0" fontId="54" fillId="0" borderId="0" xfId="15" applyFont="1" applyAlignment="1">
      <alignment horizontal="center"/>
    </xf>
    <xf numFmtId="0" fontId="54" fillId="0" borderId="8" xfId="15" applyFont="1" applyBorder="1" applyAlignment="1">
      <alignment horizontal="center"/>
    </xf>
    <xf numFmtId="0" fontId="64" fillId="0" borderId="0" xfId="15" applyFont="1" applyAlignment="1">
      <alignment horizontal="center" wrapText="1"/>
    </xf>
    <xf numFmtId="0" fontId="18" fillId="0" borderId="0" xfId="15" applyFont="1" applyAlignment="1">
      <alignment horizontal="left"/>
    </xf>
    <xf numFmtId="0" fontId="55" fillId="6" borderId="20" xfId="15" applyFont="1" applyFill="1" applyBorder="1" applyAlignment="1">
      <alignment horizontal="center"/>
    </xf>
    <xf numFmtId="0" fontId="54" fillId="6" borderId="21" xfId="15" applyFont="1" applyFill="1" applyBorder="1"/>
    <xf numFmtId="0" fontId="54" fillId="0" borderId="2" xfId="15" applyFont="1" applyBorder="1"/>
    <xf numFmtId="0" fontId="54" fillId="0" borderId="3" xfId="15" applyFont="1" applyBorder="1"/>
    <xf numFmtId="0" fontId="14" fillId="2" borderId="2" xfId="0" applyFont="1" applyFill="1" applyBorder="1" applyAlignment="1">
      <alignment horizontal="left"/>
    </xf>
    <xf numFmtId="0" fontId="14" fillId="2" borderId="3" xfId="0" applyFont="1" applyFill="1" applyBorder="1" applyAlignment="1">
      <alignment horizontal="left"/>
    </xf>
    <xf numFmtId="0" fontId="36" fillId="0" borderId="44" xfId="24" applyBorder="1" applyAlignment="1">
      <alignment horizontal="right"/>
    </xf>
    <xf numFmtId="0" fontId="36" fillId="0" borderId="0" xfId="24" applyAlignment="1">
      <alignment horizontal="right"/>
    </xf>
    <xf numFmtId="0" fontId="38" fillId="0" borderId="0" xfId="0" applyFont="1" applyAlignment="1">
      <alignment wrapText="1"/>
    </xf>
  </cellXfs>
  <cellStyles count="44">
    <cellStyle name="Comma" xfId="1" builtinId="3"/>
    <cellStyle name="Comma 13" xfId="2" xr:uid="{00000000-0005-0000-0000-000001000000}"/>
    <cellStyle name="Comma 2" xfId="3" xr:uid="{00000000-0005-0000-0000-000002000000}"/>
    <cellStyle name="Currency" xfId="4" builtinId="4"/>
    <cellStyle name="Currency 2" xfId="5" xr:uid="{00000000-0005-0000-0000-000004000000}"/>
    <cellStyle name="Currency 2 2" xfId="6" xr:uid="{00000000-0005-0000-0000-000005000000}"/>
    <cellStyle name="Currency 2 2 2 4" xfId="7" xr:uid="{00000000-0005-0000-0000-000006000000}"/>
    <cellStyle name="Currency 2 4 2" xfId="8" xr:uid="{00000000-0005-0000-0000-000007000000}"/>
    <cellStyle name="Currency 3" xfId="9" xr:uid="{00000000-0005-0000-0000-000008000000}"/>
    <cellStyle name="Currency 3 2" xfId="10" xr:uid="{00000000-0005-0000-0000-000009000000}"/>
    <cellStyle name="Currency 5 3" xfId="11" xr:uid="{00000000-0005-0000-0000-00000A000000}"/>
    <cellStyle name="Currency 5 3 2" xfId="12" xr:uid="{00000000-0005-0000-0000-00000B000000}"/>
    <cellStyle name="Currency 8" xfId="13" xr:uid="{00000000-0005-0000-0000-00000C000000}"/>
    <cellStyle name="Normal" xfId="0" builtinId="0"/>
    <cellStyle name="Normal 10" xfId="14" xr:uid="{00000000-0005-0000-0000-00000E000000}"/>
    <cellStyle name="Normal 10 4" xfId="15" xr:uid="{00000000-0005-0000-0000-00000F000000}"/>
    <cellStyle name="Normal 10 5" xfId="42" xr:uid="{5A9174F6-BA8D-41BF-B3AA-5BC67ED33D6D}"/>
    <cellStyle name="Normal 12 2" xfId="16" xr:uid="{00000000-0005-0000-0000-000010000000}"/>
    <cellStyle name="Normal 13" xfId="39" xr:uid="{FB008428-E84D-457E-9857-13BA89E19338}"/>
    <cellStyle name="Normal 18 2 2" xfId="41" xr:uid="{5F959060-3C02-4572-A1DC-8B7A4CA0B204}"/>
    <cellStyle name="Normal 2" xfId="17" xr:uid="{00000000-0005-0000-0000-000011000000}"/>
    <cellStyle name="Normal 2 2" xfId="18" xr:uid="{00000000-0005-0000-0000-000012000000}"/>
    <cellStyle name="Normal 2 2 4" xfId="19" xr:uid="{00000000-0005-0000-0000-000013000000}"/>
    <cellStyle name="Normal 23" xfId="20" xr:uid="{00000000-0005-0000-0000-000014000000}"/>
    <cellStyle name="Normal 3 3" xfId="21" xr:uid="{00000000-0005-0000-0000-000015000000}"/>
    <cellStyle name="Normal 4 2 2 2" xfId="22" xr:uid="{00000000-0005-0000-0000-000016000000}"/>
    <cellStyle name="Normal 4 2 2 3" xfId="40" xr:uid="{C25864DD-0148-4929-9E6B-E70141FCB0EF}"/>
    <cellStyle name="Normal 4 5" xfId="23" xr:uid="{00000000-0005-0000-0000-000017000000}"/>
    <cellStyle name="Normal 4 5 6" xfId="24" xr:uid="{00000000-0005-0000-0000-000018000000}"/>
    <cellStyle name="Normal 5 2 2" xfId="25" xr:uid="{00000000-0005-0000-0000-000019000000}"/>
    <cellStyle name="Normal 5 3" xfId="26" xr:uid="{00000000-0005-0000-0000-00001A000000}"/>
    <cellStyle name="Normal 6 2" xfId="27" xr:uid="{00000000-0005-0000-0000-00001B000000}"/>
    <cellStyle name="Normal 8 2 2" xfId="28" xr:uid="{00000000-0005-0000-0000-00001C000000}"/>
    <cellStyle name="Normal 9 2" xfId="29" xr:uid="{00000000-0005-0000-0000-00001D000000}"/>
    <cellStyle name="Percent" xfId="30" builtinId="5"/>
    <cellStyle name="Percent 13" xfId="31" xr:uid="{00000000-0005-0000-0000-00001F000000}"/>
    <cellStyle name="Percent 2" xfId="32" xr:uid="{00000000-0005-0000-0000-000020000000}"/>
    <cellStyle name="Percent 2 2 2" xfId="43" xr:uid="{6BB94314-5555-49FF-A7A9-BD3158E458BB}"/>
    <cellStyle name="Percent 2 4" xfId="33" xr:uid="{00000000-0005-0000-0000-000021000000}"/>
    <cellStyle name="Percent 2 7" xfId="34" xr:uid="{00000000-0005-0000-0000-000022000000}"/>
    <cellStyle name="Percent 3" xfId="35" xr:uid="{00000000-0005-0000-0000-000023000000}"/>
    <cellStyle name="Percent 4" xfId="36" xr:uid="{00000000-0005-0000-0000-000024000000}"/>
    <cellStyle name="Percent 5 2 2" xfId="37" xr:uid="{00000000-0005-0000-0000-000025000000}"/>
    <cellStyle name="Percent 7" xfId="38" xr:uid="{00000000-0005-0000-0000-000026000000}"/>
  </cellStyles>
  <dxfs count="5">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22</xdr:col>
      <xdr:colOff>542925</xdr:colOff>
      <xdr:row>18</xdr:row>
      <xdr:rowOff>47625</xdr:rowOff>
    </xdr:from>
    <xdr:ext cx="3124200" cy="1533525"/>
    <xdr:sp macro="" textlink="">
      <xdr:nvSpPr>
        <xdr:cNvPr id="2" name="TextBox 1">
          <a:extLst>
            <a:ext uri="{FF2B5EF4-FFF2-40B4-BE49-F238E27FC236}">
              <a16:creationId xmlns:a16="http://schemas.microsoft.com/office/drawing/2014/main" id="{41AF0197-BD3B-E2FC-0F64-F0F86682D954}"/>
            </a:ext>
          </a:extLst>
        </xdr:cNvPr>
        <xdr:cNvSpPr txBox="1"/>
      </xdr:nvSpPr>
      <xdr:spPr>
        <a:xfrm>
          <a:off x="27536775" y="3600450"/>
          <a:ext cx="3124200" cy="1533525"/>
        </a:xfrm>
        <a:prstGeom prst="rect">
          <a:avLst/>
        </a:prstGeom>
        <a:solidFill>
          <a:schemeClr val="bg2">
            <a:lumMod val="9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b="1" u="sng">
            <a:solidFill>
              <a:schemeClr val="tx1"/>
            </a:solidFill>
            <a:effectLst/>
            <a:latin typeface="+mn-lt"/>
            <a:ea typeface="+mn-ea"/>
            <a:cs typeface="+mn-cs"/>
          </a:endParaRPr>
        </a:p>
        <a:p>
          <a:r>
            <a:rPr lang="en-US" sz="1100" b="1" u="sng">
              <a:solidFill>
                <a:schemeClr val="tx1"/>
              </a:solidFill>
              <a:effectLst/>
              <a:latin typeface="+mn-lt"/>
              <a:ea typeface="+mn-ea"/>
              <a:cs typeface="+mn-cs"/>
            </a:rPr>
            <a:t>FY25 Updates</a:t>
          </a:r>
          <a:endParaRPr lang="en-US">
            <a:effectLst/>
          </a:endParaRPr>
        </a:p>
        <a:p>
          <a:r>
            <a:rPr lang="en-US" sz="1100" b="0">
              <a:solidFill>
                <a:schemeClr val="tx1"/>
              </a:solidFill>
              <a:effectLst/>
              <a:latin typeface="+mn-lt"/>
              <a:ea typeface="+mn-ea"/>
              <a:cs typeface="+mn-cs"/>
            </a:rPr>
            <a:t>Benchmarked</a:t>
          </a:r>
          <a:r>
            <a:rPr lang="en-US" sz="1100" b="0" baseline="0">
              <a:solidFill>
                <a:schemeClr val="tx1"/>
              </a:solidFill>
              <a:effectLst/>
              <a:latin typeface="+mn-lt"/>
              <a:ea typeface="+mn-ea"/>
              <a:cs typeface="+mn-cs"/>
            </a:rPr>
            <a:t> salaries to 2023 BLS @</a:t>
          </a:r>
          <a:r>
            <a:rPr lang="en-US" sz="1100" b="0">
              <a:solidFill>
                <a:schemeClr val="tx1"/>
              </a:solidFill>
              <a:effectLst/>
              <a:latin typeface="+mn-lt"/>
              <a:ea typeface="+mn-ea"/>
              <a:cs typeface="+mn-cs"/>
            </a:rPr>
            <a:t> 53 percentile </a:t>
          </a:r>
          <a:endParaRPr lang="en-US">
            <a:effectLst/>
          </a:endParaRPr>
        </a:p>
        <a:p>
          <a:r>
            <a:rPr lang="en-US" sz="1100">
              <a:solidFill>
                <a:schemeClr val="tx1"/>
              </a:solidFill>
              <a:effectLst/>
              <a:latin typeface="+mn-lt"/>
              <a:ea typeface="+mn-ea"/>
              <a:cs typeface="+mn-cs"/>
            </a:rPr>
            <a:t>T&amp;F Standard</a:t>
          </a:r>
          <a:r>
            <a:rPr lang="en-US" sz="1100" baseline="0">
              <a:solidFill>
                <a:schemeClr val="tx1"/>
              </a:solidFill>
              <a:effectLst/>
              <a:latin typeface="+mn-lt"/>
              <a:ea typeface="+mn-ea"/>
              <a:cs typeface="+mn-cs"/>
            </a:rPr>
            <a:t> across all models -24.97%</a:t>
          </a:r>
          <a:endParaRPr lang="en-US">
            <a:effectLst/>
          </a:endParaRPr>
        </a:p>
        <a:p>
          <a:r>
            <a:rPr lang="en-US" sz="1100" baseline="0">
              <a:solidFill>
                <a:schemeClr val="tx1"/>
              </a:solidFill>
              <a:effectLst/>
              <a:latin typeface="+mn-lt"/>
              <a:ea typeface="+mn-ea"/>
              <a:cs typeface="+mn-cs"/>
            </a:rPr>
            <a:t>2024 Spring CAF Report</a:t>
          </a:r>
          <a:r>
            <a:rPr lang="en-US" sz="1100">
              <a:solidFill>
                <a:schemeClr val="tx1"/>
              </a:solidFill>
              <a:effectLst/>
              <a:latin typeface="+mn-lt"/>
              <a:ea typeface="+mn-ea"/>
              <a:cs typeface="+mn-cs"/>
            </a:rPr>
            <a:t> 2.02%</a:t>
          </a:r>
          <a:endParaRPr lang="en-US">
            <a:effectLst/>
          </a:endParaRPr>
        </a:p>
        <a:p>
          <a:r>
            <a:rPr lang="en-US" sz="1100">
              <a:solidFill>
                <a:schemeClr val="tx1"/>
              </a:solidFill>
              <a:effectLst/>
              <a:latin typeface="+mn-lt"/>
              <a:ea typeface="+mn-ea"/>
              <a:cs typeface="+mn-cs"/>
            </a:rPr>
            <a:t>BTL FY23 UFR</a:t>
          </a:r>
          <a:r>
            <a:rPr lang="en-US" sz="1100" baseline="0">
              <a:solidFill>
                <a:schemeClr val="tx1"/>
              </a:solidFill>
              <a:effectLst/>
              <a:latin typeface="+mn-lt"/>
              <a:ea typeface="+mn-ea"/>
              <a:cs typeface="+mn-cs"/>
            </a:rPr>
            <a:t> Data used</a:t>
          </a:r>
          <a:endParaRPr lang="en-US">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xdr:colOff>
      <xdr:row>39</xdr:row>
      <xdr:rowOff>0</xdr:rowOff>
    </xdr:from>
    <xdr:ext cx="4783851" cy="1581150"/>
    <xdr:sp macro="" textlink="">
      <xdr:nvSpPr>
        <xdr:cNvPr id="2" name="TextBox 1">
          <a:extLst>
            <a:ext uri="{FF2B5EF4-FFF2-40B4-BE49-F238E27FC236}">
              <a16:creationId xmlns:a16="http://schemas.microsoft.com/office/drawing/2014/main" id="{8851D10C-55B7-7666-7DB6-FB26E9DB08D0}"/>
            </a:ext>
          </a:extLst>
        </xdr:cNvPr>
        <xdr:cNvSpPr txBox="1"/>
      </xdr:nvSpPr>
      <xdr:spPr>
        <a:xfrm>
          <a:off x="640080" y="6397625"/>
          <a:ext cx="4684395" cy="1581150"/>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41</xdr:col>
      <xdr:colOff>0</xdr:colOff>
      <xdr:row>9</xdr:row>
      <xdr:rowOff>0</xdr:rowOff>
    </xdr:from>
    <xdr:ext cx="3464718" cy="1535906"/>
    <xdr:sp macro="" textlink="">
      <xdr:nvSpPr>
        <xdr:cNvPr id="2" name="TextBox 1">
          <a:extLst>
            <a:ext uri="{FF2B5EF4-FFF2-40B4-BE49-F238E27FC236}">
              <a16:creationId xmlns:a16="http://schemas.microsoft.com/office/drawing/2014/main" id="{33DEC42B-8918-4A4E-89C3-52F290054122}"/>
            </a:ext>
          </a:extLst>
        </xdr:cNvPr>
        <xdr:cNvSpPr txBox="1"/>
      </xdr:nvSpPr>
      <xdr:spPr>
        <a:xfrm>
          <a:off x="547688" y="2262188"/>
          <a:ext cx="3464718" cy="1535906"/>
        </a:xfrm>
        <a:prstGeom prst="rect">
          <a:avLst/>
        </a:prstGeom>
        <a:solidFill>
          <a:schemeClr val="bg2">
            <a:lumMod val="9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FY25 Updates</a:t>
          </a:r>
          <a:endParaRPr lang="en-US">
            <a:effectLst/>
          </a:endParaRPr>
        </a:p>
        <a:p>
          <a:r>
            <a:rPr lang="en-US" sz="1100" b="0">
              <a:solidFill>
                <a:schemeClr val="tx1"/>
              </a:solidFill>
              <a:effectLst/>
              <a:latin typeface="+mn-lt"/>
              <a:ea typeface="+mn-ea"/>
              <a:cs typeface="+mn-cs"/>
            </a:rPr>
            <a:t>Benchmarked</a:t>
          </a:r>
          <a:r>
            <a:rPr lang="en-US" sz="1100" b="0" baseline="0">
              <a:solidFill>
                <a:schemeClr val="tx1"/>
              </a:solidFill>
              <a:effectLst/>
              <a:latin typeface="+mn-lt"/>
              <a:ea typeface="+mn-ea"/>
              <a:cs typeface="+mn-cs"/>
            </a:rPr>
            <a:t> salaries to 2023 BLS @</a:t>
          </a:r>
          <a:r>
            <a:rPr lang="en-US" sz="1100" b="0">
              <a:solidFill>
                <a:schemeClr val="tx1"/>
              </a:solidFill>
              <a:effectLst/>
              <a:latin typeface="+mn-lt"/>
              <a:ea typeface="+mn-ea"/>
              <a:cs typeface="+mn-cs"/>
            </a:rPr>
            <a:t> 53 percentile </a:t>
          </a:r>
          <a:endParaRPr lang="en-US">
            <a:effectLst/>
          </a:endParaRPr>
        </a:p>
        <a:p>
          <a:r>
            <a:rPr lang="en-US" sz="1100">
              <a:solidFill>
                <a:schemeClr val="tx1"/>
              </a:solidFill>
              <a:effectLst/>
              <a:latin typeface="+mn-lt"/>
              <a:ea typeface="+mn-ea"/>
              <a:cs typeface="+mn-cs"/>
            </a:rPr>
            <a:t>T&amp;F Standard</a:t>
          </a:r>
          <a:r>
            <a:rPr lang="en-US" sz="1100" baseline="0">
              <a:solidFill>
                <a:schemeClr val="tx1"/>
              </a:solidFill>
              <a:effectLst/>
              <a:latin typeface="+mn-lt"/>
              <a:ea typeface="+mn-ea"/>
              <a:cs typeface="+mn-cs"/>
            </a:rPr>
            <a:t> across all models -24.97%</a:t>
          </a:r>
          <a:endParaRPr lang="en-US">
            <a:effectLst/>
          </a:endParaRPr>
        </a:p>
        <a:p>
          <a:r>
            <a:rPr lang="en-US" sz="1100" baseline="0">
              <a:solidFill>
                <a:schemeClr val="tx1"/>
              </a:solidFill>
              <a:effectLst/>
              <a:latin typeface="+mn-lt"/>
              <a:ea typeface="+mn-ea"/>
              <a:cs typeface="+mn-cs"/>
            </a:rPr>
            <a:t>2024 Spring CAF Report</a:t>
          </a:r>
          <a:r>
            <a:rPr lang="en-US" sz="1100">
              <a:solidFill>
                <a:schemeClr val="tx1"/>
              </a:solidFill>
              <a:effectLst/>
              <a:latin typeface="+mn-lt"/>
              <a:ea typeface="+mn-ea"/>
              <a:cs typeface="+mn-cs"/>
            </a:rPr>
            <a:t> 2.02%</a:t>
          </a:r>
          <a:endParaRPr lang="en-US">
            <a:effectLst/>
          </a:endParaRPr>
        </a:p>
        <a:p>
          <a:r>
            <a:rPr lang="en-US" sz="1100">
              <a:solidFill>
                <a:sysClr val="windowText" lastClr="000000"/>
              </a:solidFill>
            </a:rPr>
            <a:t>BTL</a:t>
          </a:r>
          <a:r>
            <a:rPr lang="en-US" sz="1100" baseline="0">
              <a:solidFill>
                <a:sysClr val="windowText" lastClr="000000"/>
              </a:solidFill>
            </a:rPr>
            <a:t> remains at the FY22 UFR data plus CAF'd</a:t>
          </a:r>
          <a:endParaRPr lang="en-US" sz="1100">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cf06\workgroups\W_Pricing\SubAbuse\2012\Data\Outpatient%20Counseling%20&amp;%20Other%20Related\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EHS-FP-BOS-081\Users\HNaciri\Downloads\Resi%20Rehab%203386&amp;3401%20122613%20330pm.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EHS-FP-BOS-081\W_Pricing\SubAbuse\2013\Resi%20Rehab\Data\Resi%20Rehab%20_All%20Codes%20Analysis.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E\X\Data%20&amp;%20Reporting%20Tools\STARR%20Utilization\STARR%20Utilization%20Tool%20FY10%20Ju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www.mass.gov/E/X/Data%20&amp;%20Reporting%20Tools/STARR%20Utilization/STARR%20Utilization%20Tool%20FY10%20Jun"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X:\E\X\Data%20&amp;%20Reporting%20Tools\STARR%20Utilization\STARR%20Utilization%20Tool%20FY10%20Jun"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https://massgov-my.sharepoint.com/personal/mayeli_a_rohmann_mass_gov/Documents/Desktop/C257%20M2023%20BLS.xlsx" TargetMode="External"/><Relationship Id="rId1" Type="http://schemas.openxmlformats.org/officeDocument/2006/relationships/externalLinkPath" Target="/personal/mayeli_a_rohmann_mass_gov/Documents/Desktop/C257%20M2023%20BL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DPH%20-%20Recovery%20Support%20Centers%20(SRAD)\1.%20Strategy%20Materials\PRSC%203-tier%20models%20dtd%206.7.22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Hcf06\workgroups\W_Pricing\SubAbuse\2012\Data\Outpatient%20Counseling%20&amp;%20Other%20Related\Counseling%20Rate%20Options%20MARCH%201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3386&amp;3401"/>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Source3386&amp;3401"/>
      <sheetName val="Relief"/>
      <sheetName val="CAF"/>
      <sheetName val="CostSummary"/>
      <sheetName val="CleanData (2)3386&amp;3401"/>
      <sheetName val="RawDataCalcs (2)3386&amp;3401"/>
      <sheetName val="Lookups"/>
    </sheetNames>
    <sheetDataSet>
      <sheetData sheetId="0">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efreshError="1">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RawDataCalc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CleanData (2)"/>
      <sheetName val="ALLRawDataCalcs (2)"/>
      <sheetName val="Lookups"/>
      <sheetName val="Source"/>
      <sheetName val="Relief"/>
      <sheetName val="CAF"/>
    </sheetNames>
    <sheetDataSet>
      <sheetData sheetId="0" refreshError="1">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Field Descriptions"/>
      <sheetName val="UpdateTime"/>
      <sheetName val="Filler"/>
    </sheetNames>
    <sheetDataSet>
      <sheetData sheetId="0">
        <row r="409">
          <cell r="O409">
            <v>21.561199999999999</v>
          </cell>
        </row>
        <row r="609">
          <cell r="O609">
            <v>24.7028</v>
          </cell>
        </row>
      </sheetData>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930"/>
      <sheetName val="Combined Data"/>
      <sheetName val="Cost full year"/>
      <sheetName val="Benchmark Data "/>
      <sheetName val="Model (3)"/>
      <sheetName val="Model"/>
      <sheetName val="Model (2)"/>
      <sheetName val="Model (5)"/>
      <sheetName val="M2021 BLS Chart"/>
      <sheetName val="Staff Add on Rates "/>
      <sheetName val="Occupancy"/>
      <sheetName val="Write up on needs"/>
      <sheetName val="3-tier"/>
      <sheetName val="Fiscal Impact FY23"/>
      <sheetName val="Definition"/>
      <sheetName val="Spring 2022 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C6">
            <v>38937.599999999999</v>
          </cell>
        </row>
        <row r="34">
          <cell r="C34">
            <v>0.12</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Spring12CAF"/>
      <sheetName val="for pres"/>
      <sheetName val="Source"/>
      <sheetName val="Sheet1"/>
      <sheetName val="Sheet2"/>
      <sheetName val="Sheet3"/>
    </sheetNames>
    <sheetDataSet>
      <sheetData sheetId="0" refreshError="1">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persons/person.xml><?xml version="1.0" encoding="utf-8"?>
<personList xmlns="http://schemas.microsoft.com/office/spreadsheetml/2018/threadedcomments" xmlns:x="http://schemas.openxmlformats.org/spreadsheetml/2006/main">
  <person displayName="Farrell, Conor (EHS)" id="{5B3AE800-D847-4BCA-9FB9-03D50438F20B}" userId="S::conor.farrell@mass.gov::8a489186-76d8-4ef1-99e1-19ca1523f9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8" dT="2024-08-30T16:11:03.62" personId="{5B3AE800-D847-4BCA-9FB9-03D50438F20B}" id="{EFCF11BE-014B-4D25-9CB4-EA3C587820D6}">
    <text>H006 TH HD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02329-5C1E-4E6F-BB1D-52B668C7112A}">
  <dimension ref="A1:DF39"/>
  <sheetViews>
    <sheetView topLeftCell="BR1" workbookViewId="0">
      <selection activeCell="CG50" sqref="CG50"/>
    </sheetView>
  </sheetViews>
  <sheetFormatPr defaultColWidth="9.1796875" defaultRowHeight="13" x14ac:dyDescent="0.3"/>
  <cols>
    <col min="1" max="1" width="38.453125" style="768" customWidth="1"/>
    <col min="2" max="2" width="12.81640625" style="773" customWidth="1"/>
    <col min="3" max="82" width="7.7265625" style="768" customWidth="1"/>
    <col min="83" max="16384" width="9.1796875" style="768"/>
  </cols>
  <sheetData>
    <row r="1" spans="1:110" ht="18" x14ac:dyDescent="0.4">
      <c r="A1" s="867" t="s">
        <v>146</v>
      </c>
      <c r="B1" s="868"/>
    </row>
    <row r="2" spans="1:110" ht="15.5" x14ac:dyDescent="0.35">
      <c r="A2" s="769" t="s">
        <v>557</v>
      </c>
      <c r="B2" s="770"/>
    </row>
    <row r="3" spans="1:110" ht="14.5" thickBot="1" x14ac:dyDescent="0.35">
      <c r="A3" s="771" t="s">
        <v>147</v>
      </c>
      <c r="B3" s="772"/>
    </row>
    <row r="6" spans="1:110" x14ac:dyDescent="0.3">
      <c r="CK6" s="774" t="s">
        <v>558</v>
      </c>
      <c r="CL6" s="774" t="s">
        <v>559</v>
      </c>
      <c r="CM6" s="774" t="s">
        <v>560</v>
      </c>
      <c r="CN6" s="774" t="s">
        <v>561</v>
      </c>
      <c r="CO6" s="775" t="s">
        <v>562</v>
      </c>
      <c r="CP6" s="775" t="s">
        <v>563</v>
      </c>
      <c r="CQ6" s="775" t="s">
        <v>564</v>
      </c>
      <c r="CR6" s="775" t="s">
        <v>565</v>
      </c>
    </row>
    <row r="7" spans="1:110" s="773" customFormat="1" x14ac:dyDescent="0.3">
      <c r="B7" s="773" t="s">
        <v>150</v>
      </c>
      <c r="C7" s="776" t="s">
        <v>151</v>
      </c>
      <c r="D7" s="776" t="s">
        <v>152</v>
      </c>
      <c r="E7" s="776" t="s">
        <v>153</v>
      </c>
      <c r="F7" s="776" t="s">
        <v>154</v>
      </c>
      <c r="G7" s="776" t="s">
        <v>155</v>
      </c>
      <c r="H7" s="776" t="s">
        <v>156</v>
      </c>
      <c r="I7" s="776" t="s">
        <v>157</v>
      </c>
      <c r="J7" s="776" t="s">
        <v>158</v>
      </c>
      <c r="K7" s="776" t="s">
        <v>159</v>
      </c>
      <c r="L7" s="776" t="s">
        <v>160</v>
      </c>
      <c r="M7" s="776" t="s">
        <v>161</v>
      </c>
      <c r="N7" s="776" t="s">
        <v>162</v>
      </c>
      <c r="O7" s="776" t="s">
        <v>163</v>
      </c>
      <c r="P7" s="776" t="s">
        <v>164</v>
      </c>
      <c r="Q7" s="776" t="s">
        <v>165</v>
      </c>
      <c r="R7" s="776" t="s">
        <v>166</v>
      </c>
      <c r="S7" s="776" t="s">
        <v>167</v>
      </c>
      <c r="T7" s="776" t="s">
        <v>168</v>
      </c>
      <c r="U7" s="776" t="s">
        <v>169</v>
      </c>
      <c r="V7" s="776" t="s">
        <v>170</v>
      </c>
      <c r="W7" s="776" t="s">
        <v>171</v>
      </c>
      <c r="X7" s="776" t="s">
        <v>172</v>
      </c>
      <c r="Y7" s="776" t="s">
        <v>173</v>
      </c>
      <c r="Z7" s="776" t="s">
        <v>174</v>
      </c>
      <c r="AA7" s="776" t="s">
        <v>175</v>
      </c>
      <c r="AB7" s="776" t="s">
        <v>176</v>
      </c>
      <c r="AC7" s="776" t="s">
        <v>177</v>
      </c>
      <c r="AD7" s="776" t="s">
        <v>178</v>
      </c>
      <c r="AE7" s="776" t="s">
        <v>179</v>
      </c>
      <c r="AF7" s="776" t="s">
        <v>180</v>
      </c>
      <c r="AG7" s="776" t="s">
        <v>181</v>
      </c>
      <c r="AH7" s="776" t="s">
        <v>182</v>
      </c>
      <c r="AI7" s="776" t="s">
        <v>183</v>
      </c>
      <c r="AJ7" s="776" t="s">
        <v>184</v>
      </c>
      <c r="AK7" s="776" t="s">
        <v>185</v>
      </c>
      <c r="AL7" s="776" t="s">
        <v>186</v>
      </c>
      <c r="AM7" s="776" t="s">
        <v>187</v>
      </c>
      <c r="AN7" s="776" t="s">
        <v>188</v>
      </c>
      <c r="AO7" s="776" t="s">
        <v>189</v>
      </c>
      <c r="AP7" s="776" t="s">
        <v>190</v>
      </c>
      <c r="AQ7" s="776" t="s">
        <v>191</v>
      </c>
      <c r="AR7" s="776" t="s">
        <v>192</v>
      </c>
      <c r="AS7" s="776" t="s">
        <v>193</v>
      </c>
      <c r="AT7" s="776" t="s">
        <v>194</v>
      </c>
      <c r="AU7" s="773" t="s">
        <v>195</v>
      </c>
      <c r="AV7" s="773" t="s">
        <v>196</v>
      </c>
      <c r="AW7" s="773" t="s">
        <v>197</v>
      </c>
      <c r="AX7" s="773" t="s">
        <v>198</v>
      </c>
      <c r="AY7" s="773" t="s">
        <v>199</v>
      </c>
      <c r="AZ7" s="773" t="s">
        <v>200</v>
      </c>
      <c r="BA7" s="773" t="s">
        <v>201</v>
      </c>
      <c r="BB7" s="773" t="s">
        <v>202</v>
      </c>
      <c r="BC7" s="773" t="s">
        <v>203</v>
      </c>
      <c r="BD7" s="773" t="s">
        <v>204</v>
      </c>
      <c r="BE7" s="773" t="s">
        <v>205</v>
      </c>
      <c r="BF7" s="773" t="s">
        <v>206</v>
      </c>
      <c r="BG7" s="773" t="s">
        <v>207</v>
      </c>
      <c r="BH7" s="773" t="s">
        <v>208</v>
      </c>
      <c r="BI7" s="773" t="s">
        <v>209</v>
      </c>
      <c r="BJ7" s="773" t="s">
        <v>210</v>
      </c>
      <c r="BK7" s="773" t="s">
        <v>211</v>
      </c>
      <c r="BL7" s="773" t="s">
        <v>212</v>
      </c>
      <c r="BM7" s="773" t="s">
        <v>213</v>
      </c>
      <c r="BN7" s="773" t="s">
        <v>214</v>
      </c>
      <c r="BO7" s="773" t="s">
        <v>215</v>
      </c>
      <c r="BP7" s="773" t="s">
        <v>216</v>
      </c>
      <c r="BQ7" s="773" t="s">
        <v>217</v>
      </c>
      <c r="BR7" s="773" t="s">
        <v>218</v>
      </c>
      <c r="BS7" s="773" t="s">
        <v>219</v>
      </c>
      <c r="BT7" s="773" t="s">
        <v>220</v>
      </c>
      <c r="BU7" s="773" t="s">
        <v>221</v>
      </c>
      <c r="BV7" s="773" t="s">
        <v>222</v>
      </c>
      <c r="BW7" s="773" t="s">
        <v>223</v>
      </c>
      <c r="BX7" s="773" t="s">
        <v>224</v>
      </c>
      <c r="BY7" s="773" t="s">
        <v>225</v>
      </c>
      <c r="BZ7" s="773" t="s">
        <v>226</v>
      </c>
      <c r="CA7" s="773" t="s">
        <v>227</v>
      </c>
      <c r="CB7" s="773" t="s">
        <v>228</v>
      </c>
      <c r="CC7" s="773" t="s">
        <v>229</v>
      </c>
      <c r="CD7" s="773" t="s">
        <v>230</v>
      </c>
      <c r="CE7" s="773" t="s">
        <v>231</v>
      </c>
      <c r="CF7" s="773" t="s">
        <v>232</v>
      </c>
      <c r="CG7" s="773" t="s">
        <v>233</v>
      </c>
      <c r="CH7" s="773" t="s">
        <v>234</v>
      </c>
      <c r="CI7" s="773" t="s">
        <v>235</v>
      </c>
      <c r="CJ7" s="773" t="s">
        <v>236</v>
      </c>
      <c r="CK7" s="773" t="s">
        <v>237</v>
      </c>
      <c r="CL7" s="773" t="s">
        <v>238</v>
      </c>
      <c r="CM7" s="773" t="s">
        <v>370</v>
      </c>
      <c r="CN7" s="773" t="s">
        <v>371</v>
      </c>
      <c r="CO7" s="773" t="s">
        <v>372</v>
      </c>
      <c r="CP7" s="773" t="s">
        <v>373</v>
      </c>
      <c r="CQ7" s="773" t="s">
        <v>374</v>
      </c>
      <c r="CR7" s="773" t="s">
        <v>375</v>
      </c>
      <c r="CS7" s="773" t="s">
        <v>376</v>
      </c>
      <c r="CT7" s="773" t="s">
        <v>377</v>
      </c>
      <c r="CU7" s="773" t="s">
        <v>378</v>
      </c>
      <c r="CV7" s="773" t="s">
        <v>379</v>
      </c>
      <c r="CW7" s="773" t="s">
        <v>380</v>
      </c>
      <c r="CX7" s="773" t="s">
        <v>381</v>
      </c>
      <c r="CY7" s="773" t="s">
        <v>382</v>
      </c>
      <c r="CZ7" s="773" t="s">
        <v>383</v>
      </c>
      <c r="DA7" s="773" t="s">
        <v>384</v>
      </c>
      <c r="DB7" s="773" t="s">
        <v>385</v>
      </c>
      <c r="DC7" s="773" t="s">
        <v>386</v>
      </c>
      <c r="DD7" s="773" t="s">
        <v>387</v>
      </c>
      <c r="DE7" s="773" t="s">
        <v>388</v>
      </c>
      <c r="DF7" s="773" t="s">
        <v>389</v>
      </c>
    </row>
    <row r="8" spans="1:110" x14ac:dyDescent="0.3">
      <c r="A8" s="773" t="s">
        <v>239</v>
      </c>
      <c r="B8" s="773" t="s">
        <v>240</v>
      </c>
      <c r="C8" s="777">
        <v>2.0063967944573302</v>
      </c>
      <c r="D8" s="777">
        <v>2.0292109297185799</v>
      </c>
      <c r="E8" s="777">
        <v>2.0375058295190498</v>
      </c>
      <c r="F8" s="777">
        <v>2.06056286491336</v>
      </c>
      <c r="G8" s="777">
        <v>2.0745428604526199</v>
      </c>
      <c r="H8" s="777">
        <v>2.0848413941935999</v>
      </c>
      <c r="I8" s="777">
        <v>2.1205826507328598</v>
      </c>
      <c r="J8" s="777">
        <v>2.1424708889297399</v>
      </c>
      <c r="K8" s="777">
        <v>2.1577842143700501</v>
      </c>
      <c r="L8" s="777">
        <v>2.1833771506398501</v>
      </c>
      <c r="M8" s="777">
        <v>2.2041521339054801</v>
      </c>
      <c r="N8" s="777">
        <v>2.1895699800145501</v>
      </c>
      <c r="O8" s="777">
        <v>2.2079136110252899</v>
      </c>
      <c r="P8" s="777">
        <v>2.22788120701059</v>
      </c>
      <c r="Q8" s="777">
        <v>2.2459724770552998</v>
      </c>
      <c r="R8" s="777">
        <v>2.2732174952512398</v>
      </c>
      <c r="S8" s="777">
        <v>2.2978763341263799</v>
      </c>
      <c r="T8" s="777">
        <v>2.3349096781978398</v>
      </c>
      <c r="U8" s="777">
        <v>2.3734038596485099</v>
      </c>
      <c r="V8" s="777">
        <v>2.3214065405194502</v>
      </c>
      <c r="W8" s="777">
        <v>2.30398378778303</v>
      </c>
      <c r="X8" s="777">
        <v>2.3147083800778501</v>
      </c>
      <c r="Y8" s="777">
        <v>2.33384264563343</v>
      </c>
      <c r="Z8" s="777">
        <v>2.3520478742720301</v>
      </c>
      <c r="AA8" s="777">
        <v>2.35710662986398</v>
      </c>
      <c r="AB8" s="777">
        <v>2.3597617242881999</v>
      </c>
      <c r="AC8" s="777">
        <v>2.3675152110919599</v>
      </c>
      <c r="AD8" s="777">
        <v>2.3894355869441899</v>
      </c>
      <c r="AE8" s="777">
        <v>2.40815819227547</v>
      </c>
      <c r="AF8" s="777">
        <v>2.44430890044428</v>
      </c>
      <c r="AG8" s="777">
        <v>2.4604257745065699</v>
      </c>
      <c r="AH8" s="777">
        <v>2.4673861530990902</v>
      </c>
      <c r="AI8" s="777">
        <v>2.48042073711553</v>
      </c>
      <c r="AJ8" s="777">
        <v>2.4867997015171999</v>
      </c>
      <c r="AK8" s="777">
        <v>2.4979963270933299</v>
      </c>
      <c r="AL8" s="777">
        <v>2.5174928668501901</v>
      </c>
      <c r="AM8" s="777">
        <v>2.52334068619753</v>
      </c>
      <c r="AN8" s="777">
        <v>2.5236312406637</v>
      </c>
      <c r="AO8" s="777">
        <v>2.53852614076715</v>
      </c>
      <c r="AP8" s="777">
        <v>2.5493471020021499</v>
      </c>
      <c r="AQ8" s="777">
        <v>2.5641196272997999</v>
      </c>
      <c r="AR8" s="777">
        <v>2.5682533521263</v>
      </c>
      <c r="AS8" s="777">
        <v>2.5745604439045402</v>
      </c>
      <c r="AT8" s="777">
        <v>2.5703855371384798</v>
      </c>
      <c r="AU8" s="777">
        <v>2.5621096470938398</v>
      </c>
      <c r="AV8" s="777">
        <v>2.57383315818505</v>
      </c>
      <c r="AW8" s="777">
        <v>2.5763813062717098</v>
      </c>
      <c r="AX8" s="777">
        <v>2.5767536568672198</v>
      </c>
      <c r="AY8" s="777">
        <v>2.5717145141704401</v>
      </c>
      <c r="AZ8" s="777">
        <v>2.5921806314594802</v>
      </c>
      <c r="BA8" s="777">
        <v>2.6069809626114901</v>
      </c>
      <c r="BB8" s="777">
        <v>2.6253970020753399</v>
      </c>
      <c r="BC8" s="777">
        <v>2.64311388125578</v>
      </c>
      <c r="BD8" s="777">
        <v>2.64546660406153</v>
      </c>
      <c r="BE8" s="777">
        <v>2.6516461802012401</v>
      </c>
      <c r="BF8" s="777">
        <v>2.6731214386986899</v>
      </c>
      <c r="BG8" s="777">
        <v>2.6992395466316998</v>
      </c>
      <c r="BH8" s="777">
        <v>2.7183438993189601</v>
      </c>
      <c r="BI8" s="777">
        <v>2.7305561512385701</v>
      </c>
      <c r="BJ8" s="777">
        <v>2.74253282416533</v>
      </c>
      <c r="BK8" s="777">
        <v>2.7480564459173999</v>
      </c>
      <c r="BL8" s="777">
        <v>2.7688782846120299</v>
      </c>
      <c r="BM8" s="777">
        <v>2.7849600301573001</v>
      </c>
      <c r="BN8" s="777">
        <v>2.7960315775651199</v>
      </c>
      <c r="BO8" s="777">
        <v>2.8046313693112501</v>
      </c>
      <c r="BP8" s="777">
        <v>2.7904564390836502</v>
      </c>
      <c r="BQ8" s="777">
        <v>2.8032012428447599</v>
      </c>
      <c r="BR8" s="777">
        <v>2.8160110728518499</v>
      </c>
      <c r="BS8" s="777">
        <v>2.8427513358899001</v>
      </c>
      <c r="BT8" s="777">
        <v>2.8785483334867901</v>
      </c>
      <c r="BU8" s="777">
        <v>2.9207292897956099</v>
      </c>
      <c r="BV8" s="777">
        <v>2.9773693852936902</v>
      </c>
      <c r="BW8" s="777">
        <v>3.0336330216182201</v>
      </c>
      <c r="BX8" s="777">
        <v>3.0947841762379902</v>
      </c>
      <c r="BY8" s="777">
        <v>3.1308382651775801</v>
      </c>
      <c r="BZ8" s="777">
        <v>3.1647578482205798</v>
      </c>
      <c r="CA8" s="777">
        <v>3.1699728449320399</v>
      </c>
      <c r="CB8" s="777">
        <v>3.1726433528765199</v>
      </c>
      <c r="CC8" s="777">
        <v>3.1988751075198198</v>
      </c>
      <c r="CD8" s="777">
        <v>3.22193842078046</v>
      </c>
      <c r="CE8" s="777">
        <v>3.2482217134576001</v>
      </c>
      <c r="CF8" s="777">
        <v>3.2956347050253401</v>
      </c>
      <c r="CG8" s="777">
        <v>3.3068651934414</v>
      </c>
      <c r="CH8" s="777">
        <v>3.3215129166372299</v>
      </c>
      <c r="CI8" s="777">
        <v>3.33644348125376</v>
      </c>
      <c r="CJ8" s="777">
        <v>3.3572212983318299</v>
      </c>
      <c r="CK8" s="777">
        <v>3.3807002427985302</v>
      </c>
      <c r="CL8" s="777">
        <v>3.4059969087009301</v>
      </c>
      <c r="CM8" s="777">
        <v>3.4377337181428</v>
      </c>
      <c r="CN8" s="777">
        <v>3.4574970892838501</v>
      </c>
      <c r="CO8" s="777">
        <v>3.4821949067167401</v>
      </c>
      <c r="CP8" s="777">
        <v>3.5031566001205299</v>
      </c>
      <c r="CQ8" s="777">
        <v>3.52270272713641</v>
      </c>
      <c r="CR8" s="777">
        <v>3.5419955790195701</v>
      </c>
      <c r="CS8" s="777">
        <v>3.5559381202671498</v>
      </c>
      <c r="CT8" s="777">
        <v>3.57575112832704</v>
      </c>
      <c r="CU8" s="777">
        <v>3.5964338270398999</v>
      </c>
      <c r="CV8" s="777">
        <v>3.61801770409354</v>
      </c>
      <c r="CW8" s="777">
        <v>3.6408977322046501</v>
      </c>
      <c r="CX8" s="777">
        <v>3.6618400116250398</v>
      </c>
      <c r="CY8" s="777">
        <v>3.6802375110753398</v>
      </c>
      <c r="CZ8" s="777">
        <v>3.7008477513768301</v>
      </c>
      <c r="DA8" s="777">
        <v>3.7223543645572499</v>
      </c>
      <c r="DB8" s="777">
        <v>3.7436102533270601</v>
      </c>
      <c r="DC8" s="777">
        <v>3.7639621402043901</v>
      </c>
      <c r="DD8" s="777">
        <v>3.7858589715223401</v>
      </c>
      <c r="DE8" s="777">
        <v>3.8072431216507701</v>
      </c>
      <c r="DF8" s="777">
        <v>3.82745157800891</v>
      </c>
    </row>
    <row r="9" spans="1:110" x14ac:dyDescent="0.3">
      <c r="A9" s="773" t="s">
        <v>241</v>
      </c>
      <c r="B9" s="773" t="s">
        <v>242</v>
      </c>
      <c r="C9" s="777">
        <v>2.0063967944573302</v>
      </c>
      <c r="D9" s="777">
        <v>2.0292109297185799</v>
      </c>
      <c r="E9" s="777">
        <v>2.0375058295190498</v>
      </c>
      <c r="F9" s="777">
        <v>2.06056286491336</v>
      </c>
      <c r="G9" s="777">
        <v>2.0745428604526199</v>
      </c>
      <c r="H9" s="777">
        <v>2.0848413941935999</v>
      </c>
      <c r="I9" s="777">
        <v>2.1205826507328598</v>
      </c>
      <c r="J9" s="777">
        <v>2.1424708889297399</v>
      </c>
      <c r="K9" s="777">
        <v>2.1577842143700501</v>
      </c>
      <c r="L9" s="777">
        <v>2.1833771506398501</v>
      </c>
      <c r="M9" s="777">
        <v>2.2041521339054801</v>
      </c>
      <c r="N9" s="777">
        <v>2.1895699800145501</v>
      </c>
      <c r="O9" s="777">
        <v>2.2079136110252899</v>
      </c>
      <c r="P9" s="777">
        <v>2.22788120701059</v>
      </c>
      <c r="Q9" s="777">
        <v>2.2459724770552998</v>
      </c>
      <c r="R9" s="777">
        <v>2.2732174952512398</v>
      </c>
      <c r="S9" s="777">
        <v>2.2978763341263799</v>
      </c>
      <c r="T9" s="777">
        <v>2.3349096781978398</v>
      </c>
      <c r="U9" s="777">
        <v>2.3734038596485099</v>
      </c>
      <c r="V9" s="777">
        <v>2.3214065405194502</v>
      </c>
      <c r="W9" s="777">
        <v>2.30398378778303</v>
      </c>
      <c r="X9" s="777">
        <v>2.3147083800778501</v>
      </c>
      <c r="Y9" s="777">
        <v>2.33384264563343</v>
      </c>
      <c r="Z9" s="777">
        <v>2.3520478742720301</v>
      </c>
      <c r="AA9" s="777">
        <v>2.35710662986398</v>
      </c>
      <c r="AB9" s="777">
        <v>2.3597617242881999</v>
      </c>
      <c r="AC9" s="777">
        <v>2.3675152110919599</v>
      </c>
      <c r="AD9" s="777">
        <v>2.3894355869441899</v>
      </c>
      <c r="AE9" s="777">
        <v>2.40815819227547</v>
      </c>
      <c r="AF9" s="777">
        <v>2.44430890044428</v>
      </c>
      <c r="AG9" s="777">
        <v>2.4604257745065699</v>
      </c>
      <c r="AH9" s="777">
        <v>2.4673861530990902</v>
      </c>
      <c r="AI9" s="777">
        <v>2.48042073711553</v>
      </c>
      <c r="AJ9" s="777">
        <v>2.4867997015171999</v>
      </c>
      <c r="AK9" s="777">
        <v>2.4979963270933299</v>
      </c>
      <c r="AL9" s="777">
        <v>2.5174928668501901</v>
      </c>
      <c r="AM9" s="777">
        <v>2.52334068619753</v>
      </c>
      <c r="AN9" s="777">
        <v>2.5236312406637</v>
      </c>
      <c r="AO9" s="777">
        <v>2.53852614076715</v>
      </c>
      <c r="AP9" s="777">
        <v>2.5493471020021499</v>
      </c>
      <c r="AQ9" s="777">
        <v>2.5641196272997999</v>
      </c>
      <c r="AR9" s="777">
        <v>2.5682533521263</v>
      </c>
      <c r="AS9" s="777">
        <v>2.5745604439045402</v>
      </c>
      <c r="AT9" s="777">
        <v>2.5703855371384798</v>
      </c>
      <c r="AU9" s="777">
        <v>2.5621096470938398</v>
      </c>
      <c r="AV9" s="777">
        <v>2.57383315818505</v>
      </c>
      <c r="AW9" s="777">
        <v>2.5763813062717098</v>
      </c>
      <c r="AX9" s="777">
        <v>2.5767536568672198</v>
      </c>
      <c r="AY9" s="777">
        <v>2.5717145141704401</v>
      </c>
      <c r="AZ9" s="777">
        <v>2.5921806314594802</v>
      </c>
      <c r="BA9" s="777">
        <v>2.6069809626114901</v>
      </c>
      <c r="BB9" s="777">
        <v>2.6253970020753399</v>
      </c>
      <c r="BC9" s="777">
        <v>2.64311388125578</v>
      </c>
      <c r="BD9" s="777">
        <v>2.64546660406153</v>
      </c>
      <c r="BE9" s="777">
        <v>2.6516461802012401</v>
      </c>
      <c r="BF9" s="777">
        <v>2.6731214386986899</v>
      </c>
      <c r="BG9" s="777">
        <v>2.6992395466316998</v>
      </c>
      <c r="BH9" s="777">
        <v>2.7183438993189601</v>
      </c>
      <c r="BI9" s="777">
        <v>2.7305561512385701</v>
      </c>
      <c r="BJ9" s="777">
        <v>2.74253282416533</v>
      </c>
      <c r="BK9" s="777">
        <v>2.7480564459173999</v>
      </c>
      <c r="BL9" s="777">
        <v>2.7688782846120299</v>
      </c>
      <c r="BM9" s="777">
        <v>2.7849600301573001</v>
      </c>
      <c r="BN9" s="777">
        <v>2.7960315775651199</v>
      </c>
      <c r="BO9" s="777">
        <v>2.8046313693112501</v>
      </c>
      <c r="BP9" s="777">
        <v>2.7904564390836502</v>
      </c>
      <c r="BQ9" s="777">
        <v>2.8032012428447599</v>
      </c>
      <c r="BR9" s="777">
        <v>2.8160110728518499</v>
      </c>
      <c r="BS9" s="777">
        <v>2.8427513358899001</v>
      </c>
      <c r="BT9" s="777">
        <v>2.8785483334867901</v>
      </c>
      <c r="BU9" s="777">
        <v>2.9207292897956099</v>
      </c>
      <c r="BV9" s="777">
        <v>2.9773693852936902</v>
      </c>
      <c r="BW9" s="777">
        <v>3.0336330216182201</v>
      </c>
      <c r="BX9" s="777">
        <v>3.0947841762379902</v>
      </c>
      <c r="BY9" s="777">
        <v>3.1308382651775801</v>
      </c>
      <c r="BZ9" s="777">
        <v>3.1647578482205798</v>
      </c>
      <c r="CA9" s="777">
        <v>3.1699728449320399</v>
      </c>
      <c r="CB9" s="777">
        <v>3.1726433528765199</v>
      </c>
      <c r="CC9" s="777">
        <v>3.1988751075198198</v>
      </c>
      <c r="CD9" s="777">
        <v>3.22193842078046</v>
      </c>
      <c r="CE9" s="777">
        <v>3.2482217134576001</v>
      </c>
      <c r="CF9" s="777">
        <v>3.2956347050253401</v>
      </c>
      <c r="CG9" s="777">
        <v>3.2956818187049399</v>
      </c>
      <c r="CH9" s="777">
        <v>3.30792205959977</v>
      </c>
      <c r="CI9" s="777">
        <v>3.3215284214171801</v>
      </c>
      <c r="CJ9" s="777">
        <v>3.3405839801810502</v>
      </c>
      <c r="CK9" s="777">
        <v>3.3614239742545502</v>
      </c>
      <c r="CL9" s="777">
        <v>3.38426406518745</v>
      </c>
      <c r="CM9" s="777">
        <v>3.4138940790776999</v>
      </c>
      <c r="CN9" s="777">
        <v>3.4314671893760398</v>
      </c>
      <c r="CO9" s="777">
        <v>3.4539470339367302</v>
      </c>
      <c r="CP9" s="777">
        <v>3.47269459852044</v>
      </c>
      <c r="CQ9" s="777">
        <v>3.49005249564626</v>
      </c>
      <c r="CR9" s="777">
        <v>3.5070492246636702</v>
      </c>
      <c r="CS9" s="777">
        <v>3.5187919040562301</v>
      </c>
      <c r="CT9" s="777">
        <v>3.53647849692035</v>
      </c>
      <c r="CU9" s="777">
        <v>3.5550620795049301</v>
      </c>
      <c r="CV9" s="777">
        <v>3.5745297767497299</v>
      </c>
      <c r="CW9" s="777">
        <v>3.5952897092899598</v>
      </c>
      <c r="CX9" s="777">
        <v>3.6139753890265802</v>
      </c>
      <c r="CY9" s="777">
        <v>3.6302782464144498</v>
      </c>
      <c r="CZ9" s="777">
        <v>3.6485793510484301</v>
      </c>
      <c r="DA9" s="777">
        <v>3.6675896522072202</v>
      </c>
      <c r="DB9" s="777">
        <v>3.6861868903925301</v>
      </c>
      <c r="DC9" s="777">
        <v>3.7039124585854499</v>
      </c>
      <c r="DD9" s="777">
        <v>3.72290689668923</v>
      </c>
      <c r="DE9" s="777">
        <v>3.7412610936331001</v>
      </c>
      <c r="DF9" s="777">
        <v>3.7582877239941199</v>
      </c>
    </row>
    <row r="10" spans="1:110" x14ac:dyDescent="0.3">
      <c r="A10" s="773" t="s">
        <v>243</v>
      </c>
      <c r="B10" s="773" t="s">
        <v>244</v>
      </c>
      <c r="C10" s="777">
        <v>2.0063967944573302</v>
      </c>
      <c r="D10" s="777">
        <v>2.0292109297185799</v>
      </c>
      <c r="E10" s="777">
        <v>2.0375058295190498</v>
      </c>
      <c r="F10" s="777">
        <v>2.06056286491336</v>
      </c>
      <c r="G10" s="777">
        <v>2.0745428604526199</v>
      </c>
      <c r="H10" s="777">
        <v>2.0848413941935999</v>
      </c>
      <c r="I10" s="777">
        <v>2.1205826507328598</v>
      </c>
      <c r="J10" s="777">
        <v>2.1424708889297399</v>
      </c>
      <c r="K10" s="777">
        <v>2.1577842143700501</v>
      </c>
      <c r="L10" s="777">
        <v>2.1833771506398501</v>
      </c>
      <c r="M10" s="777">
        <v>2.2041521339054801</v>
      </c>
      <c r="N10" s="777">
        <v>2.1895699800145501</v>
      </c>
      <c r="O10" s="777">
        <v>2.2079136110252899</v>
      </c>
      <c r="P10" s="777">
        <v>2.22788120701059</v>
      </c>
      <c r="Q10" s="777">
        <v>2.2459724770552998</v>
      </c>
      <c r="R10" s="777">
        <v>2.2732174952512398</v>
      </c>
      <c r="S10" s="777">
        <v>2.2978763341263799</v>
      </c>
      <c r="T10" s="777">
        <v>2.3349096781978398</v>
      </c>
      <c r="U10" s="777">
        <v>2.3734038596485099</v>
      </c>
      <c r="V10" s="777">
        <v>2.3214065405194502</v>
      </c>
      <c r="W10" s="777">
        <v>2.30398378778303</v>
      </c>
      <c r="X10" s="777">
        <v>2.3147083800778501</v>
      </c>
      <c r="Y10" s="777">
        <v>2.33384264563343</v>
      </c>
      <c r="Z10" s="777">
        <v>2.3520478742720301</v>
      </c>
      <c r="AA10" s="777">
        <v>2.35710662986398</v>
      </c>
      <c r="AB10" s="777">
        <v>2.3597617242881999</v>
      </c>
      <c r="AC10" s="777">
        <v>2.3675152110919599</v>
      </c>
      <c r="AD10" s="777">
        <v>2.3894355869441899</v>
      </c>
      <c r="AE10" s="777">
        <v>2.40815819227547</v>
      </c>
      <c r="AF10" s="777">
        <v>2.44430890044428</v>
      </c>
      <c r="AG10" s="777">
        <v>2.4604257745065699</v>
      </c>
      <c r="AH10" s="777">
        <v>2.4673861530990902</v>
      </c>
      <c r="AI10" s="777">
        <v>2.48042073711553</v>
      </c>
      <c r="AJ10" s="777">
        <v>2.4867997015171999</v>
      </c>
      <c r="AK10" s="777">
        <v>2.4979963270933299</v>
      </c>
      <c r="AL10" s="777">
        <v>2.5174928668501901</v>
      </c>
      <c r="AM10" s="777">
        <v>2.52334068619753</v>
      </c>
      <c r="AN10" s="777">
        <v>2.5236312406637</v>
      </c>
      <c r="AO10" s="777">
        <v>2.53852614076715</v>
      </c>
      <c r="AP10" s="777">
        <v>2.5493471020021499</v>
      </c>
      <c r="AQ10" s="777">
        <v>2.5641196272997999</v>
      </c>
      <c r="AR10" s="777">
        <v>2.5682533521263</v>
      </c>
      <c r="AS10" s="777">
        <v>2.5745604439045402</v>
      </c>
      <c r="AT10" s="777">
        <v>2.5703855371384798</v>
      </c>
      <c r="AU10" s="777">
        <v>2.5621096470938398</v>
      </c>
      <c r="AV10" s="777">
        <v>2.57383315818505</v>
      </c>
      <c r="AW10" s="777">
        <v>2.5763813062717098</v>
      </c>
      <c r="AX10" s="777">
        <v>2.5767536568672198</v>
      </c>
      <c r="AY10" s="777">
        <v>2.5717145141704401</v>
      </c>
      <c r="AZ10" s="777">
        <v>2.5921806314594802</v>
      </c>
      <c r="BA10" s="777">
        <v>2.6069809626114901</v>
      </c>
      <c r="BB10" s="777">
        <v>2.6253970020753399</v>
      </c>
      <c r="BC10" s="777">
        <v>2.64311388125578</v>
      </c>
      <c r="BD10" s="777">
        <v>2.64546660406153</v>
      </c>
      <c r="BE10" s="777">
        <v>2.6516461802012401</v>
      </c>
      <c r="BF10" s="777">
        <v>2.6731214386986899</v>
      </c>
      <c r="BG10" s="777">
        <v>2.6992395466316998</v>
      </c>
      <c r="BH10" s="777">
        <v>2.7183438993189601</v>
      </c>
      <c r="BI10" s="777">
        <v>2.7305561512385701</v>
      </c>
      <c r="BJ10" s="777">
        <v>2.74253282416533</v>
      </c>
      <c r="BK10" s="777">
        <v>2.7480564459173999</v>
      </c>
      <c r="BL10" s="777">
        <v>2.7688782846120299</v>
      </c>
      <c r="BM10" s="777">
        <v>2.7849600301573001</v>
      </c>
      <c r="BN10" s="777">
        <v>2.7960315775651199</v>
      </c>
      <c r="BO10" s="777">
        <v>2.8046313693112501</v>
      </c>
      <c r="BP10" s="777">
        <v>2.7904564390836502</v>
      </c>
      <c r="BQ10" s="777">
        <v>2.8032012428447599</v>
      </c>
      <c r="BR10" s="777">
        <v>2.8160110728518499</v>
      </c>
      <c r="BS10" s="777">
        <v>2.8427513358899001</v>
      </c>
      <c r="BT10" s="777">
        <v>2.8785483334867901</v>
      </c>
      <c r="BU10" s="777">
        <v>2.9207292897956099</v>
      </c>
      <c r="BV10" s="777">
        <v>2.9773693852936902</v>
      </c>
      <c r="BW10" s="777">
        <v>3.0336330216182201</v>
      </c>
      <c r="BX10" s="777">
        <v>3.0947841762379902</v>
      </c>
      <c r="BY10" s="777">
        <v>3.1308382651775801</v>
      </c>
      <c r="BZ10" s="777">
        <v>3.1647578482205798</v>
      </c>
      <c r="CA10" s="777">
        <v>3.1699728449320399</v>
      </c>
      <c r="CB10" s="777">
        <v>3.1726433528765199</v>
      </c>
      <c r="CC10" s="777">
        <v>3.1988751075198198</v>
      </c>
      <c r="CD10" s="777">
        <v>3.22193842078046</v>
      </c>
      <c r="CE10" s="777">
        <v>3.2482217134576001</v>
      </c>
      <c r="CF10" s="777">
        <v>3.2956347050253401</v>
      </c>
      <c r="CG10" s="777">
        <v>3.3328946110561599</v>
      </c>
      <c r="CH10" s="777">
        <v>3.36074834534553</v>
      </c>
      <c r="CI10" s="777">
        <v>3.3902946752043399</v>
      </c>
      <c r="CJ10" s="777">
        <v>3.42312033100974</v>
      </c>
      <c r="CK10" s="777">
        <v>3.4590872492515499</v>
      </c>
      <c r="CL10" s="777">
        <v>3.4964583573124401</v>
      </c>
      <c r="CM10" s="777">
        <v>3.5398838730279301</v>
      </c>
      <c r="CN10" s="777">
        <v>3.5709423409877301</v>
      </c>
      <c r="CO10" s="777">
        <v>3.6075949532460601</v>
      </c>
      <c r="CP10" s="777">
        <v>3.6406746430719101</v>
      </c>
      <c r="CQ10" s="777">
        <v>3.6727184178307102</v>
      </c>
      <c r="CR10" s="777">
        <v>3.7047416963224702</v>
      </c>
      <c r="CS10" s="777">
        <v>3.7304473216979699</v>
      </c>
      <c r="CT10" s="777">
        <v>3.7624186037224798</v>
      </c>
      <c r="CU10" s="777">
        <v>3.79605055530654</v>
      </c>
      <c r="CV10" s="777">
        <v>3.8308948946381198</v>
      </c>
      <c r="CW10" s="777">
        <v>3.8673947300953402</v>
      </c>
      <c r="CX10" s="777">
        <v>3.9020162285803601</v>
      </c>
      <c r="CY10" s="777">
        <v>3.9341456558961099</v>
      </c>
      <c r="CZ10" s="777">
        <v>3.9683381696998699</v>
      </c>
      <c r="DA10" s="777">
        <v>4.0035641613789599</v>
      </c>
      <c r="DB10" s="777">
        <v>4.0386906917721097</v>
      </c>
      <c r="DC10" s="777">
        <v>4.0732428615725098</v>
      </c>
      <c r="DD10" s="777">
        <v>4.1093506579633496</v>
      </c>
      <c r="DE10" s="777">
        <v>4.1449735418232203</v>
      </c>
      <c r="DF10" s="777">
        <v>4.1796036208680798</v>
      </c>
    </row>
    <row r="12" spans="1:110" hidden="1" x14ac:dyDescent="0.3">
      <c r="CE12" s="778" t="s">
        <v>566</v>
      </c>
      <c r="CF12" s="779"/>
      <c r="CG12" s="779"/>
      <c r="CH12" s="780" t="s">
        <v>567</v>
      </c>
      <c r="CI12" s="781"/>
      <c r="CJ12" s="781"/>
      <c r="CK12" s="781"/>
      <c r="CL12" s="781"/>
      <c r="CM12" s="781"/>
      <c r="CN12" s="779"/>
      <c r="CO12" s="779"/>
      <c r="CP12" s="779"/>
    </row>
    <row r="13" spans="1:110" hidden="1" x14ac:dyDescent="0.3">
      <c r="CE13" s="782"/>
      <c r="CF13" s="783"/>
      <c r="CG13" s="783"/>
      <c r="CH13" s="783"/>
      <c r="CI13" s="783"/>
      <c r="CJ13" s="783"/>
      <c r="CK13" s="783"/>
      <c r="CL13" s="783"/>
      <c r="CM13" s="783"/>
      <c r="CN13" s="783"/>
      <c r="CO13" s="783"/>
      <c r="CP13" s="784"/>
    </row>
    <row r="14" spans="1:110" hidden="1" x14ac:dyDescent="0.3">
      <c r="CE14" s="785"/>
      <c r="CF14" s="786" t="s">
        <v>245</v>
      </c>
      <c r="CG14" s="787" t="s">
        <v>236</v>
      </c>
      <c r="CH14" s="779"/>
      <c r="CI14" s="779"/>
      <c r="CJ14" s="779"/>
      <c r="CK14" s="779"/>
      <c r="CL14" s="779"/>
      <c r="CM14" s="779"/>
      <c r="CN14" s="779"/>
      <c r="CO14" s="779"/>
      <c r="CP14" s="788"/>
    </row>
    <row r="15" spans="1:110" hidden="1" x14ac:dyDescent="0.3">
      <c r="CE15" s="785"/>
      <c r="CF15" s="779"/>
      <c r="CG15" s="789" t="s">
        <v>568</v>
      </c>
      <c r="CH15" s="779"/>
      <c r="CI15" s="779"/>
      <c r="CJ15" s="779"/>
      <c r="CK15" s="779"/>
      <c r="CL15" s="779"/>
      <c r="CM15" s="779"/>
      <c r="CN15" s="779"/>
      <c r="CO15" s="779"/>
      <c r="CP15" s="790" t="s">
        <v>246</v>
      </c>
    </row>
    <row r="16" spans="1:110" hidden="1" x14ac:dyDescent="0.3">
      <c r="CC16" s="768" t="s">
        <v>569</v>
      </c>
      <c r="CE16" s="785"/>
      <c r="CF16" s="779"/>
      <c r="CG16" s="791">
        <f>CJ9</f>
        <v>3.3405839801810502</v>
      </c>
      <c r="CH16" s="792"/>
      <c r="CI16" s="779"/>
      <c r="CJ16" s="779"/>
      <c r="CK16" s="779"/>
      <c r="CL16" s="779"/>
      <c r="CM16" s="779"/>
      <c r="CN16" s="779"/>
      <c r="CO16" s="779"/>
      <c r="CP16" s="793">
        <f>CG16</f>
        <v>3.3405839801810502</v>
      </c>
    </row>
    <row r="17" spans="81:94" hidden="1" x14ac:dyDescent="0.3">
      <c r="CE17" s="785"/>
      <c r="CF17" s="779"/>
      <c r="CG17" s="779"/>
      <c r="CH17" s="779"/>
      <c r="CI17" s="779"/>
      <c r="CJ17" s="779"/>
      <c r="CK17" s="779"/>
      <c r="CL17" s="779"/>
      <c r="CM17" s="779"/>
      <c r="CN17" s="779"/>
      <c r="CO17" s="779"/>
      <c r="CP17" s="793"/>
    </row>
    <row r="18" spans="81:94" hidden="1" x14ac:dyDescent="0.3">
      <c r="CE18" s="869" t="s">
        <v>247</v>
      </c>
      <c r="CF18" s="870"/>
      <c r="CG18" s="870"/>
      <c r="CH18" s="779" t="s">
        <v>570</v>
      </c>
      <c r="CI18" s="779"/>
      <c r="CJ18" s="779"/>
      <c r="CK18" s="779"/>
      <c r="CL18" s="779"/>
      <c r="CM18" s="779"/>
      <c r="CN18" s="779"/>
      <c r="CO18" s="779"/>
      <c r="CP18" s="793"/>
    </row>
    <row r="19" spans="81:94" hidden="1" x14ac:dyDescent="0.3">
      <c r="CE19" s="794"/>
      <c r="CF19" s="786"/>
      <c r="CG19" s="795" t="str">
        <f>CK7</f>
        <v>2025Q3</v>
      </c>
      <c r="CH19" s="795" t="str">
        <f t="shared" ref="CH19:CN19" si="0">CL7</f>
        <v>2025Q4</v>
      </c>
      <c r="CI19" s="795" t="str">
        <f t="shared" si="0"/>
        <v>2026Q1</v>
      </c>
      <c r="CJ19" s="795" t="str">
        <f t="shared" si="0"/>
        <v>2026Q2</v>
      </c>
      <c r="CK19" s="795" t="str">
        <f t="shared" si="0"/>
        <v>2026Q3</v>
      </c>
      <c r="CL19" s="795" t="str">
        <f t="shared" si="0"/>
        <v>2026Q4</v>
      </c>
      <c r="CM19" s="795" t="str">
        <f t="shared" si="0"/>
        <v>2027Q1</v>
      </c>
      <c r="CN19" s="795" t="str">
        <f t="shared" si="0"/>
        <v>2027Q2</v>
      </c>
      <c r="CO19" s="779"/>
      <c r="CP19" s="793"/>
    </row>
    <row r="20" spans="81:94" hidden="1" x14ac:dyDescent="0.3">
      <c r="CE20" s="785"/>
      <c r="CF20" s="779"/>
      <c r="CG20" s="796" t="s">
        <v>558</v>
      </c>
      <c r="CH20" s="796" t="s">
        <v>559</v>
      </c>
      <c r="CI20" s="796" t="s">
        <v>560</v>
      </c>
      <c r="CJ20" s="796" t="s">
        <v>561</v>
      </c>
      <c r="CK20" s="797" t="s">
        <v>562</v>
      </c>
      <c r="CL20" s="797" t="s">
        <v>563</v>
      </c>
      <c r="CM20" s="797" t="s">
        <v>564</v>
      </c>
      <c r="CN20" s="797" t="s">
        <v>565</v>
      </c>
      <c r="CO20" s="779"/>
      <c r="CP20" s="793"/>
    </row>
    <row r="21" spans="81:94" hidden="1" x14ac:dyDescent="0.3">
      <c r="CE21" s="785"/>
      <c r="CF21" s="779"/>
      <c r="CG21" s="798">
        <f>CK9</f>
        <v>3.3614239742545502</v>
      </c>
      <c r="CH21" s="798">
        <f t="shared" ref="CH21:CN21" si="1">CL9</f>
        <v>3.38426406518745</v>
      </c>
      <c r="CI21" s="798">
        <f t="shared" si="1"/>
        <v>3.4138940790776999</v>
      </c>
      <c r="CJ21" s="798">
        <f t="shared" si="1"/>
        <v>3.4314671893760398</v>
      </c>
      <c r="CK21" s="798">
        <f t="shared" si="1"/>
        <v>3.4539470339367302</v>
      </c>
      <c r="CL21" s="798">
        <f t="shared" si="1"/>
        <v>3.47269459852044</v>
      </c>
      <c r="CM21" s="798">
        <f t="shared" si="1"/>
        <v>3.49005249564626</v>
      </c>
      <c r="CN21" s="798">
        <f t="shared" si="1"/>
        <v>3.5070492246636702</v>
      </c>
      <c r="CO21" s="779"/>
      <c r="CP21" s="793">
        <f>AVERAGE(CG21:CN21)</f>
        <v>3.4393490825828557</v>
      </c>
    </row>
    <row r="22" spans="81:94" hidden="1" x14ac:dyDescent="0.3">
      <c r="CE22" s="785"/>
      <c r="CF22" s="779"/>
      <c r="CG22" s="779"/>
      <c r="CH22" s="779"/>
      <c r="CI22" s="779"/>
      <c r="CJ22" s="779"/>
      <c r="CK22" s="779"/>
      <c r="CL22" s="779"/>
      <c r="CM22" s="779"/>
      <c r="CN22" s="779"/>
      <c r="CO22" s="779"/>
      <c r="CP22" s="799"/>
    </row>
    <row r="23" spans="81:94" hidden="1" x14ac:dyDescent="0.3">
      <c r="CE23" s="785"/>
      <c r="CF23" s="779"/>
      <c r="CG23" s="779"/>
      <c r="CH23" s="779"/>
      <c r="CI23" s="779"/>
      <c r="CJ23" s="779"/>
      <c r="CK23" s="779"/>
      <c r="CL23" s="779"/>
      <c r="CM23" s="779"/>
      <c r="CN23" s="779"/>
      <c r="CO23" s="800" t="s">
        <v>248</v>
      </c>
      <c r="CP23" s="801">
        <f>(CP21-CP16)/CP16</f>
        <v>2.9565220628416197E-2</v>
      </c>
    </row>
    <row r="24" spans="81:94" hidden="1" x14ac:dyDescent="0.3">
      <c r="CE24" s="802"/>
      <c r="CF24" s="803"/>
      <c r="CG24" s="803"/>
      <c r="CH24" s="803"/>
      <c r="CI24" s="803"/>
      <c r="CJ24" s="803"/>
      <c r="CK24" s="803"/>
      <c r="CL24" s="803"/>
      <c r="CM24" s="803"/>
      <c r="CN24" s="803"/>
      <c r="CO24" s="803"/>
      <c r="CP24" s="804"/>
    </row>
    <row r="27" spans="81:94" x14ac:dyDescent="0.3">
      <c r="CE27" s="778" t="s">
        <v>566</v>
      </c>
      <c r="CF27" s="779"/>
      <c r="CG27" s="779"/>
      <c r="CH27" s="780" t="s">
        <v>567</v>
      </c>
      <c r="CI27" s="781"/>
      <c r="CJ27" s="781"/>
      <c r="CK27" s="781"/>
      <c r="CL27" s="781"/>
      <c r="CM27" s="781"/>
      <c r="CN27" s="779"/>
      <c r="CO27" s="779"/>
      <c r="CP27" s="779"/>
    </row>
    <row r="28" spans="81:94" x14ac:dyDescent="0.3">
      <c r="CE28" s="782"/>
      <c r="CF28" s="783"/>
      <c r="CG28" s="783"/>
      <c r="CH28" s="783"/>
      <c r="CI28" s="783"/>
      <c r="CJ28" s="783"/>
      <c r="CK28" s="783"/>
      <c r="CL28" s="783"/>
      <c r="CM28" s="783"/>
      <c r="CN28" s="783"/>
      <c r="CO28" s="783"/>
      <c r="CP28" s="784"/>
    </row>
    <row r="29" spans="81:94" x14ac:dyDescent="0.3">
      <c r="CE29" s="785"/>
      <c r="CF29" s="786" t="s">
        <v>245</v>
      </c>
      <c r="CG29" s="787" t="s">
        <v>236</v>
      </c>
      <c r="CH29" s="779"/>
      <c r="CI29" s="779"/>
      <c r="CJ29" s="779"/>
      <c r="CK29" s="779"/>
      <c r="CL29" s="779"/>
      <c r="CM29" s="779"/>
      <c r="CN29" s="779"/>
      <c r="CO29" s="779"/>
      <c r="CP29" s="788"/>
    </row>
    <row r="30" spans="81:94" x14ac:dyDescent="0.3">
      <c r="CE30" s="785"/>
      <c r="CF30" s="779"/>
      <c r="CG30" s="789" t="s">
        <v>568</v>
      </c>
      <c r="CH30" s="779"/>
      <c r="CI30" s="779"/>
      <c r="CJ30" s="779"/>
      <c r="CK30" s="779"/>
      <c r="CL30" s="779"/>
      <c r="CM30" s="779"/>
      <c r="CN30" s="779"/>
      <c r="CO30" s="779"/>
      <c r="CP30" s="790" t="s">
        <v>246</v>
      </c>
    </row>
    <row r="31" spans="81:94" x14ac:dyDescent="0.3">
      <c r="CC31" s="768" t="s">
        <v>571</v>
      </c>
      <c r="CE31" s="785"/>
      <c r="CF31" s="779"/>
      <c r="CG31" s="791">
        <f>CJ8</f>
        <v>3.3572212983318299</v>
      </c>
      <c r="CH31" s="792"/>
      <c r="CI31" s="779"/>
      <c r="CJ31" s="779"/>
      <c r="CK31" s="779"/>
      <c r="CL31" s="779"/>
      <c r="CM31" s="779"/>
      <c r="CN31" s="779"/>
      <c r="CO31" s="779"/>
      <c r="CP31" s="793">
        <f>CG31</f>
        <v>3.3572212983318299</v>
      </c>
    </row>
    <row r="32" spans="81:94" x14ac:dyDescent="0.3">
      <c r="CE32" s="785"/>
      <c r="CF32" s="779"/>
      <c r="CG32" s="779"/>
      <c r="CH32" s="779"/>
      <c r="CI32" s="779"/>
      <c r="CJ32" s="779"/>
      <c r="CK32" s="779"/>
      <c r="CL32" s="779"/>
      <c r="CM32" s="779"/>
      <c r="CN32" s="779"/>
      <c r="CO32" s="779"/>
      <c r="CP32" s="793"/>
    </row>
    <row r="33" spans="83:94" x14ac:dyDescent="0.3">
      <c r="CE33" s="869" t="s">
        <v>247</v>
      </c>
      <c r="CF33" s="870"/>
      <c r="CG33" s="870"/>
      <c r="CH33" s="779" t="s">
        <v>570</v>
      </c>
      <c r="CI33" s="779"/>
      <c r="CJ33" s="779"/>
      <c r="CK33" s="779"/>
      <c r="CL33" s="779"/>
      <c r="CM33" s="779"/>
      <c r="CN33" s="779"/>
      <c r="CO33" s="779"/>
      <c r="CP33" s="793"/>
    </row>
    <row r="34" spans="83:94" x14ac:dyDescent="0.3">
      <c r="CE34" s="794"/>
      <c r="CF34" s="786"/>
      <c r="CG34" s="795" t="str">
        <f>CG19</f>
        <v>2025Q3</v>
      </c>
      <c r="CH34" s="795" t="str">
        <f t="shared" ref="CH34:CN34" si="2">CH19</f>
        <v>2025Q4</v>
      </c>
      <c r="CI34" s="795" t="str">
        <f t="shared" si="2"/>
        <v>2026Q1</v>
      </c>
      <c r="CJ34" s="795" t="str">
        <f t="shared" si="2"/>
        <v>2026Q2</v>
      </c>
      <c r="CK34" s="795" t="str">
        <f t="shared" si="2"/>
        <v>2026Q3</v>
      </c>
      <c r="CL34" s="795" t="str">
        <f t="shared" si="2"/>
        <v>2026Q4</v>
      </c>
      <c r="CM34" s="795" t="str">
        <f t="shared" si="2"/>
        <v>2027Q1</v>
      </c>
      <c r="CN34" s="795" t="str">
        <f t="shared" si="2"/>
        <v>2027Q2</v>
      </c>
      <c r="CO34" s="779"/>
      <c r="CP34" s="793"/>
    </row>
    <row r="35" spans="83:94" x14ac:dyDescent="0.3">
      <c r="CE35" s="785"/>
      <c r="CF35" s="779"/>
      <c r="CG35" s="796" t="s">
        <v>558</v>
      </c>
      <c r="CH35" s="796" t="s">
        <v>559</v>
      </c>
      <c r="CI35" s="796" t="s">
        <v>560</v>
      </c>
      <c r="CJ35" s="796" t="s">
        <v>561</v>
      </c>
      <c r="CK35" s="797" t="s">
        <v>562</v>
      </c>
      <c r="CL35" s="797" t="s">
        <v>563</v>
      </c>
      <c r="CM35" s="797" t="s">
        <v>564</v>
      </c>
      <c r="CN35" s="797" t="s">
        <v>565</v>
      </c>
      <c r="CO35" s="779"/>
      <c r="CP35" s="793"/>
    </row>
    <row r="36" spans="83:94" x14ac:dyDescent="0.3">
      <c r="CE36" s="785"/>
      <c r="CF36" s="779"/>
      <c r="CG36" s="798">
        <f>CK8</f>
        <v>3.3807002427985302</v>
      </c>
      <c r="CH36" s="798">
        <f t="shared" ref="CH36:CN36" si="3">CL8</f>
        <v>3.4059969087009301</v>
      </c>
      <c r="CI36" s="798">
        <f t="shared" si="3"/>
        <v>3.4377337181428</v>
      </c>
      <c r="CJ36" s="798">
        <f t="shared" si="3"/>
        <v>3.4574970892838501</v>
      </c>
      <c r="CK36" s="798">
        <f t="shared" si="3"/>
        <v>3.4821949067167401</v>
      </c>
      <c r="CL36" s="798">
        <f t="shared" si="3"/>
        <v>3.5031566001205299</v>
      </c>
      <c r="CM36" s="798">
        <f t="shared" si="3"/>
        <v>3.52270272713641</v>
      </c>
      <c r="CN36" s="798">
        <f t="shared" si="3"/>
        <v>3.5419955790195701</v>
      </c>
      <c r="CO36" s="779"/>
      <c r="CP36" s="793">
        <f>AVERAGE(CG36:CN36)</f>
        <v>3.4664972214899197</v>
      </c>
    </row>
    <row r="37" spans="83:94" x14ac:dyDescent="0.3">
      <c r="CE37" s="785"/>
      <c r="CF37" s="779"/>
      <c r="CG37" s="779"/>
      <c r="CH37" s="779"/>
      <c r="CI37" s="779"/>
      <c r="CJ37" s="779"/>
      <c r="CK37" s="779"/>
      <c r="CL37" s="779"/>
      <c r="CM37" s="779"/>
      <c r="CN37" s="779"/>
      <c r="CO37" s="779"/>
      <c r="CP37" s="799"/>
    </row>
    <row r="38" spans="83:94" x14ac:dyDescent="0.3">
      <c r="CE38" s="785"/>
      <c r="CF38" s="779"/>
      <c r="CG38" s="779"/>
      <c r="CH38" s="779"/>
      <c r="CI38" s="779"/>
      <c r="CJ38" s="779"/>
      <c r="CK38" s="779"/>
      <c r="CL38" s="779"/>
      <c r="CM38" s="779"/>
      <c r="CN38" s="779"/>
      <c r="CO38" s="800" t="s">
        <v>248</v>
      </c>
      <c r="CP38" s="801">
        <f>(CP36-CP31)/CP31</f>
        <v>3.2549514448865162E-2</v>
      </c>
    </row>
    <row r="39" spans="83:94" x14ac:dyDescent="0.3">
      <c r="CE39" s="802"/>
      <c r="CF39" s="803"/>
      <c r="CG39" s="803"/>
      <c r="CH39" s="803"/>
      <c r="CI39" s="803"/>
      <c r="CJ39" s="803"/>
      <c r="CK39" s="803"/>
      <c r="CL39" s="803"/>
      <c r="CM39" s="803"/>
      <c r="CN39" s="803"/>
      <c r="CO39" s="803"/>
      <c r="CP39" s="804"/>
    </row>
  </sheetData>
  <mergeCells count="3">
    <mergeCell ref="A1:B1"/>
    <mergeCell ref="CE18:CG18"/>
    <mergeCell ref="CE33:CG33"/>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38"/>
  <sheetViews>
    <sheetView zoomScale="115" zoomScaleNormal="115" workbookViewId="0">
      <selection activeCell="P28" sqref="P28"/>
    </sheetView>
  </sheetViews>
  <sheetFormatPr defaultColWidth="9.1796875" defaultRowHeight="12.5" x14ac:dyDescent="0.25"/>
  <cols>
    <col min="1" max="1" width="3.81640625" style="42" customWidth="1"/>
    <col min="2" max="2" width="26" style="42" hidden="1" customWidth="1"/>
    <col min="3" max="3" width="13.81640625" style="42" hidden="1" customWidth="1"/>
    <col min="4" max="4" width="4.453125" style="42" hidden="1" customWidth="1"/>
    <col min="5" max="5" width="9.453125" style="42" hidden="1" customWidth="1"/>
    <col min="6" max="6" width="13.453125" style="42" hidden="1" customWidth="1"/>
    <col min="7" max="7" width="9.1796875" style="42"/>
    <col min="8" max="8" width="30.7265625" style="42" bestFit="1" customWidth="1"/>
    <col min="9" max="9" width="12.26953125" style="42" bestFit="1" customWidth="1"/>
    <col min="10" max="10" width="4.453125" style="42" bestFit="1" customWidth="1"/>
    <col min="11" max="11" width="9.453125" style="42" bestFit="1" customWidth="1"/>
    <col min="12" max="16384" width="9.1796875" style="42"/>
  </cols>
  <sheetData>
    <row r="1" spans="2:11" ht="15" customHeight="1" x14ac:dyDescent="0.25">
      <c r="B1" s="50"/>
    </row>
    <row r="2" spans="2:11" ht="15.75" customHeight="1" thickBot="1" x14ac:dyDescent="0.35">
      <c r="B2" s="24" t="s">
        <v>396</v>
      </c>
      <c r="C2" s="24"/>
      <c r="D2" s="24"/>
      <c r="E2" s="142">
        <v>44927</v>
      </c>
      <c r="H2" s="24" t="s">
        <v>397</v>
      </c>
      <c r="I2" s="24"/>
      <c r="J2" s="24"/>
      <c r="K2" s="142"/>
    </row>
    <row r="3" spans="2:11" ht="15.75" customHeight="1" thickBot="1" x14ac:dyDescent="0.35">
      <c r="B3" s="912" t="s">
        <v>82</v>
      </c>
      <c r="C3" s="913"/>
      <c r="D3" s="913"/>
      <c r="E3" s="914"/>
      <c r="H3" s="912" t="s">
        <v>82</v>
      </c>
      <c r="I3" s="913"/>
      <c r="J3" s="913"/>
      <c r="K3" s="914"/>
    </row>
    <row r="4" spans="2:11" ht="15" customHeight="1" x14ac:dyDescent="0.3">
      <c r="B4" s="632" t="s">
        <v>83</v>
      </c>
      <c r="C4" s="227" t="s">
        <v>84</v>
      </c>
      <c r="D4" s="227">
        <v>10</v>
      </c>
      <c r="E4" s="53">
        <f>(52*5)-10</f>
        <v>250</v>
      </c>
      <c r="H4" s="632" t="s">
        <v>83</v>
      </c>
      <c r="I4" s="227" t="s">
        <v>84</v>
      </c>
      <c r="J4" s="227">
        <v>10</v>
      </c>
      <c r="K4" s="53">
        <f>(52*5)-10</f>
        <v>250</v>
      </c>
    </row>
    <row r="5" spans="2:11" ht="12.75" customHeight="1" x14ac:dyDescent="0.3">
      <c r="B5" s="56"/>
      <c r="C5" s="57"/>
      <c r="D5" s="57"/>
      <c r="E5" s="58" t="s">
        <v>3</v>
      </c>
      <c r="H5" s="56"/>
      <c r="I5" s="57" t="s">
        <v>509</v>
      </c>
      <c r="J5" s="57" t="s">
        <v>2</v>
      </c>
      <c r="K5" s="58" t="s">
        <v>3</v>
      </c>
    </row>
    <row r="6" spans="2:11" ht="12.75" customHeight="1" x14ac:dyDescent="0.3">
      <c r="B6" s="10" t="s">
        <v>4</v>
      </c>
      <c r="C6" s="60"/>
      <c r="D6" s="61">
        <v>0.1</v>
      </c>
      <c r="E6" s="144">
        <v>7200.0239999999994</v>
      </c>
      <c r="F6" s="514">
        <f>E6/D6</f>
        <v>72000.239999999991</v>
      </c>
      <c r="H6" s="10" t="s">
        <v>4</v>
      </c>
      <c r="I6" s="60">
        <f>'Master Lookup'!C4</f>
        <v>80829.631999999998</v>
      </c>
      <c r="J6" s="61">
        <v>0.1</v>
      </c>
      <c r="K6" s="144">
        <f>I6*J6</f>
        <v>8082.9632000000001</v>
      </c>
    </row>
    <row r="7" spans="2:11" ht="12.75" customHeight="1" x14ac:dyDescent="0.3">
      <c r="B7" s="10" t="s">
        <v>17</v>
      </c>
      <c r="C7" s="65"/>
      <c r="D7" s="66">
        <f>0.83+1</f>
        <v>1.83</v>
      </c>
      <c r="E7" s="144">
        <v>118281.85199999998</v>
      </c>
      <c r="F7" s="514">
        <f t="shared" ref="F7:F8" si="0">E7/D7</f>
        <v>64634.891803278675</v>
      </c>
      <c r="H7" s="10" t="s">
        <v>497</v>
      </c>
      <c r="I7" s="60">
        <f>'Master Lookup'!C8</f>
        <v>83639.712</v>
      </c>
      <c r="J7" s="61">
        <v>0.83</v>
      </c>
      <c r="K7" s="62">
        <f>I7*J7</f>
        <v>69420.960959999997</v>
      </c>
    </row>
    <row r="8" spans="2:11" ht="12.75" customHeight="1" x14ac:dyDescent="0.3">
      <c r="B8" s="10" t="s">
        <v>6</v>
      </c>
      <c r="C8" s="65"/>
      <c r="D8" s="66">
        <f>0.5+0.25</f>
        <v>0.75</v>
      </c>
      <c r="E8" s="144">
        <v>34086.832000000002</v>
      </c>
      <c r="F8" s="514">
        <f t="shared" si="0"/>
        <v>45449.109333333334</v>
      </c>
      <c r="H8" s="10" t="s">
        <v>511</v>
      </c>
      <c r="I8" s="60">
        <f>'Master Lookup'!C9</f>
        <v>70211.44</v>
      </c>
      <c r="J8" s="61">
        <v>1</v>
      </c>
      <c r="K8" s="62">
        <f>I8*J8</f>
        <v>70211.44</v>
      </c>
    </row>
    <row r="9" spans="2:11" ht="12.75" customHeight="1" x14ac:dyDescent="0.3">
      <c r="B9" s="16" t="s">
        <v>77</v>
      </c>
      <c r="C9" s="68">
        <v>0.2422</v>
      </c>
      <c r="D9" s="66"/>
      <c r="E9" s="144">
        <f>SUM(E6:E8)*C9</f>
        <v>38647.541077599999</v>
      </c>
      <c r="H9" s="10" t="s">
        <v>250</v>
      </c>
      <c r="I9" s="65">
        <f>'Master Lookup'!C13</f>
        <v>56217.241600000001</v>
      </c>
      <c r="J9" s="66">
        <v>0.5</v>
      </c>
      <c r="K9" s="62">
        <f>I9*J9</f>
        <v>28108.620800000001</v>
      </c>
    </row>
    <row r="10" spans="2:11" ht="13.5" customHeight="1" x14ac:dyDescent="0.3">
      <c r="B10" s="199"/>
      <c r="C10" s="68"/>
      <c r="D10" s="61"/>
      <c r="E10" s="144"/>
      <c r="H10" s="10" t="s">
        <v>512</v>
      </c>
      <c r="I10" s="65">
        <f>'Master Lookup'!C14</f>
        <v>43247.567999999999</v>
      </c>
      <c r="J10" s="66">
        <v>0.25</v>
      </c>
      <c r="K10" s="62">
        <f>I10*J10</f>
        <v>10811.892</v>
      </c>
    </row>
    <row r="11" spans="2:11" ht="15" customHeight="1" x14ac:dyDescent="0.3">
      <c r="B11" s="145" t="s">
        <v>8</v>
      </c>
      <c r="C11" s="165"/>
      <c r="D11" s="146">
        <f>SUM(D6:D10)</f>
        <v>2.68</v>
      </c>
      <c r="E11" s="147">
        <f>SUM(E6:E10)</f>
        <v>198216.24907759999</v>
      </c>
      <c r="H11" s="145" t="s">
        <v>8</v>
      </c>
      <c r="I11" s="165"/>
      <c r="J11" s="146">
        <f>SUM(J6:J10)</f>
        <v>2.6799999999999997</v>
      </c>
      <c r="K11" s="147">
        <f>SUM(K6:K10)</f>
        <v>186635.87695999999</v>
      </c>
    </row>
    <row r="12" spans="2:11" ht="15" customHeight="1" x14ac:dyDescent="0.3">
      <c r="B12" s="10"/>
      <c r="C12" s="75" t="s">
        <v>9</v>
      </c>
      <c r="D12" s="75"/>
      <c r="E12" s="148"/>
      <c r="H12" s="10"/>
      <c r="I12" s="75"/>
      <c r="J12" s="18"/>
      <c r="K12" s="166"/>
    </row>
    <row r="13" spans="2:11" ht="26.25" customHeight="1" x14ac:dyDescent="0.3">
      <c r="B13" s="228" t="s">
        <v>85</v>
      </c>
      <c r="C13" s="77">
        <v>5643.6295682599966</v>
      </c>
      <c r="D13" s="92"/>
      <c r="E13" s="229">
        <f>C13*(D7-0.83)</f>
        <v>5643.6295682599966</v>
      </c>
      <c r="H13" s="10" t="s">
        <v>7</v>
      </c>
      <c r="I13" s="151">
        <f>'Master Lookup'!C20</f>
        <v>0.24970000000000001</v>
      </c>
      <c r="J13" s="18"/>
      <c r="K13" s="13">
        <f>K11*I13</f>
        <v>46602.978476912001</v>
      </c>
    </row>
    <row r="14" spans="2:11" ht="12.75" customHeight="1" x14ac:dyDescent="0.3">
      <c r="B14" s="10" t="s">
        <v>23</v>
      </c>
      <c r="C14" s="77">
        <v>6198.4781475635955</v>
      </c>
      <c r="D14" s="78"/>
      <c r="E14" s="230">
        <f>C14*D11</f>
        <v>16611.921435470438</v>
      </c>
      <c r="H14" s="10"/>
      <c r="I14" s="151"/>
      <c r="J14" s="18"/>
      <c r="K14" s="13"/>
    </row>
    <row r="15" spans="2:11" ht="13.5" customHeight="1" thickBot="1" x14ac:dyDescent="0.35">
      <c r="B15" s="87" t="s">
        <v>24</v>
      </c>
      <c r="C15" s="152">
        <v>2794.2223618392604</v>
      </c>
      <c r="D15" s="231"/>
      <c r="E15" s="232">
        <f>C15*D11</f>
        <v>7488.5159297292184</v>
      </c>
      <c r="H15" s="145" t="s">
        <v>498</v>
      </c>
      <c r="I15" s="165"/>
      <c r="J15" s="168"/>
      <c r="K15" s="22">
        <f>K11+K13</f>
        <v>233238.85543691198</v>
      </c>
    </row>
    <row r="16" spans="2:11" ht="14.25" customHeight="1" thickTop="1" thickBot="1" x14ac:dyDescent="0.35">
      <c r="B16" s="87" t="s">
        <v>10</v>
      </c>
      <c r="C16" s="88">
        <v>0.12</v>
      </c>
      <c r="D16" s="89"/>
      <c r="E16" s="233">
        <f>SUM(E15+E14+E13+E11)*C16</f>
        <v>27355.237921327156</v>
      </c>
      <c r="H16" s="513" t="s">
        <v>329</v>
      </c>
      <c r="I16" s="77">
        <f ca="1">'Master Lookup'!C18</f>
        <v>17228.263463673018</v>
      </c>
      <c r="J16" s="75"/>
      <c r="K16" s="230">
        <f ca="1">I16*J8</f>
        <v>17228.263463673018</v>
      </c>
    </row>
    <row r="17" spans="2:11" ht="13.5" customHeight="1" thickTop="1" x14ac:dyDescent="0.3">
      <c r="B17" s="10" t="s">
        <v>86</v>
      </c>
      <c r="C17" s="234"/>
      <c r="D17" s="75"/>
      <c r="E17" s="144">
        <f>SUM(E11:E16)</f>
        <v>255315.55393238677</v>
      </c>
      <c r="H17" s="10" t="s">
        <v>23</v>
      </c>
      <c r="I17" s="77">
        <f ca="1">'Master Lookup'!C16</f>
        <v>8516.4863039663633</v>
      </c>
      <c r="J17" s="78"/>
      <c r="K17" s="230">
        <f ca="1">I17*J11</f>
        <v>22824.183294629853</v>
      </c>
    </row>
    <row r="18" spans="2:11" ht="13.5" customHeight="1" x14ac:dyDescent="0.3">
      <c r="B18" s="10" t="s">
        <v>26</v>
      </c>
      <c r="C18" s="234">
        <v>1.8521849532574713E-2</v>
      </c>
      <c r="D18" s="75"/>
      <c r="E18" s="144">
        <f>E17*C18</f>
        <v>4728.9162732616323</v>
      </c>
      <c r="H18" s="10" t="s">
        <v>24</v>
      </c>
      <c r="I18" s="77">
        <f ca="1">'Master Lookup'!C17</f>
        <v>3410.6245791447127</v>
      </c>
      <c r="J18" s="78"/>
      <c r="K18" s="230">
        <f ca="1">I18*J11</f>
        <v>9140.4738721078284</v>
      </c>
    </row>
    <row r="19" spans="2:11" ht="15" customHeight="1" x14ac:dyDescent="0.3">
      <c r="B19" s="84" t="s">
        <v>12</v>
      </c>
      <c r="C19" s="92"/>
      <c r="D19" s="92"/>
      <c r="E19" s="154">
        <f>E18+E17</f>
        <v>260044.47020564839</v>
      </c>
      <c r="H19" s="145" t="s">
        <v>27</v>
      </c>
      <c r="I19" s="165"/>
      <c r="J19" s="20"/>
      <c r="K19" s="22">
        <f ca="1">SUM(K15:K18)</f>
        <v>282431.77606732264</v>
      </c>
    </row>
    <row r="20" spans="2:11" ht="15.75" customHeight="1" thickBot="1" x14ac:dyDescent="0.35">
      <c r="B20" s="174" t="s">
        <v>87</v>
      </c>
      <c r="C20" s="235"/>
      <c r="D20" s="236"/>
      <c r="E20" s="237">
        <f>E19/(D4*E4)+0.42</f>
        <v>104.43778808225936</v>
      </c>
      <c r="F20" s="240"/>
      <c r="H20" s="10" t="s">
        <v>10</v>
      </c>
      <c r="I20" s="429">
        <f>'Master Lookup'!C21</f>
        <v>0.12</v>
      </c>
      <c r="J20" s="75"/>
      <c r="K20" s="144">
        <f ca="1">I20*K19</f>
        <v>33891.813128078713</v>
      </c>
    </row>
    <row r="21" spans="2:11" ht="15" customHeight="1" x14ac:dyDescent="0.3">
      <c r="B21" s="50"/>
      <c r="C21" s="24"/>
      <c r="D21" s="24"/>
      <c r="E21" s="156"/>
      <c r="F21" s="221"/>
      <c r="H21" s="10"/>
      <c r="I21" s="429"/>
      <c r="J21" s="75"/>
      <c r="K21" s="144"/>
    </row>
    <row r="22" spans="2:11" ht="15" customHeight="1" x14ac:dyDescent="0.3">
      <c r="B22" s="50"/>
      <c r="C22" s="24"/>
      <c r="D22" s="241"/>
      <c r="E22" s="242"/>
      <c r="F22" s="41"/>
      <c r="H22" s="202" t="s">
        <v>500</v>
      </c>
      <c r="I22" s="508"/>
      <c r="J22" s="92"/>
      <c r="K22" s="154">
        <f ca="1">K19+K20</f>
        <v>316323.58919540135</v>
      </c>
    </row>
    <row r="23" spans="2:11" ht="15" customHeight="1" x14ac:dyDescent="0.3">
      <c r="B23" s="50"/>
      <c r="C23" s="1"/>
      <c r="D23" s="1"/>
      <c r="E23" s="1"/>
      <c r="F23" s="1"/>
      <c r="H23" s="10" t="s">
        <v>26</v>
      </c>
      <c r="I23" s="429">
        <f>'Master Lookup'!C22</f>
        <v>3.2549514448865162E-2</v>
      </c>
      <c r="J23" s="75"/>
      <c r="K23" s="144">
        <f ca="1">I23*K19</f>
        <v>9193.0171759219684</v>
      </c>
    </row>
    <row r="24" spans="2:11" ht="15.75" customHeight="1" thickBot="1" x14ac:dyDescent="0.35">
      <c r="B24" s="50"/>
      <c r="C24" s="24"/>
      <c r="D24" s="24"/>
      <c r="E24" s="24"/>
      <c r="F24" s="24"/>
      <c r="H24" s="149" t="s">
        <v>500</v>
      </c>
      <c r="I24" s="75"/>
      <c r="J24" s="75"/>
      <c r="K24" s="153">
        <f ca="1">K23+K22</f>
        <v>325516.60637132335</v>
      </c>
    </row>
    <row r="25" spans="2:11" ht="15.75" customHeight="1" thickBot="1" x14ac:dyDescent="0.35">
      <c r="B25" s="50"/>
      <c r="C25" s="24"/>
      <c r="D25" s="24"/>
      <c r="E25" s="24"/>
      <c r="F25" s="24"/>
      <c r="H25" s="509" t="s">
        <v>87</v>
      </c>
      <c r="I25" s="510"/>
      <c r="J25" s="511"/>
      <c r="K25" s="512">
        <f ca="1">K24/(J4*K4)</f>
        <v>130.20664254852935</v>
      </c>
    </row>
    <row r="26" spans="2:11" ht="15" customHeight="1" x14ac:dyDescent="0.3">
      <c r="F26" s="50"/>
      <c r="H26" s="24"/>
      <c r="I26" s="238"/>
      <c r="J26" s="239"/>
      <c r="K26" s="240"/>
    </row>
    <row r="27" spans="2:11" ht="15" customHeight="1" x14ac:dyDescent="0.3">
      <c r="F27" s="50"/>
      <c r="H27" s="24"/>
      <c r="I27" s="24" t="s">
        <v>495</v>
      </c>
      <c r="J27" s="156"/>
      <c r="K27" s="41">
        <f ca="1">(K25-E20)/E20</f>
        <v>0.24673879961890241</v>
      </c>
    </row>
    <row r="28" spans="2:11" ht="15" customHeight="1" x14ac:dyDescent="0.3">
      <c r="F28" s="50"/>
      <c r="H28" s="24"/>
      <c r="I28" s="241"/>
      <c r="J28" s="242"/>
      <c r="K28" s="41"/>
    </row>
    <row r="29" spans="2:11" ht="15" customHeight="1" x14ac:dyDescent="0.3">
      <c r="F29" s="50"/>
      <c r="H29" s="1"/>
      <c r="I29" s="1"/>
      <c r="J29" s="1"/>
      <c r="K29" s="1"/>
    </row>
    <row r="30" spans="2:11" ht="15" customHeight="1" x14ac:dyDescent="0.3">
      <c r="F30" s="50"/>
      <c r="H30" s="24"/>
      <c r="I30" s="24"/>
      <c r="J30" s="24"/>
      <c r="K30" s="24"/>
    </row>
    <row r="31" spans="2:11" ht="15" customHeight="1" x14ac:dyDescent="0.3">
      <c r="F31" s="50"/>
      <c r="H31" s="24"/>
      <c r="I31" s="24"/>
      <c r="J31" s="24"/>
      <c r="K31" s="24"/>
    </row>
    <row r="32" spans="2:11" ht="15" customHeight="1" x14ac:dyDescent="0.3">
      <c r="F32" s="160"/>
      <c r="H32" s="50"/>
      <c r="I32" s="50"/>
      <c r="J32" s="50"/>
      <c r="K32" s="50"/>
    </row>
    <row r="33" spans="8:11" ht="15" customHeight="1" x14ac:dyDescent="0.25">
      <c r="H33" s="50"/>
      <c r="I33" s="50"/>
      <c r="J33" s="50"/>
      <c r="K33" s="50"/>
    </row>
    <row r="34" spans="8:11" ht="15" customHeight="1" x14ac:dyDescent="0.25">
      <c r="H34" s="50"/>
      <c r="I34" s="50"/>
      <c r="J34" s="50"/>
      <c r="K34" s="50"/>
    </row>
    <row r="35" spans="8:11" ht="15" customHeight="1" x14ac:dyDescent="0.25">
      <c r="H35" s="50"/>
      <c r="I35" s="50"/>
      <c r="J35" s="50"/>
      <c r="K35" s="50"/>
    </row>
    <row r="36" spans="8:11" ht="15" customHeight="1" x14ac:dyDescent="0.25">
      <c r="H36" s="50"/>
      <c r="I36" s="50"/>
      <c r="J36" s="50"/>
      <c r="K36" s="50"/>
    </row>
    <row r="37" spans="8:11" ht="15" customHeight="1" x14ac:dyDescent="0.25">
      <c r="H37" s="50"/>
      <c r="I37" s="50"/>
      <c r="J37" s="50"/>
      <c r="K37" s="50"/>
    </row>
    <row r="38" spans="8:11" ht="15" customHeight="1" x14ac:dyDescent="0.3">
      <c r="H38" s="160"/>
      <c r="J38" s="161"/>
      <c r="K38" s="160"/>
    </row>
  </sheetData>
  <mergeCells count="2">
    <mergeCell ref="B3:E3"/>
    <mergeCell ref="H3:K3"/>
  </mergeCells>
  <pageMargins left="0.25" right="0.25" top="0.75" bottom="0.75" header="0.3" footer="0.3"/>
  <pageSetup scale="70" fitToHeight="0" orientation="landscape" cellComments="asDisplayed" r:id="rId1"/>
  <headerFooter>
    <oddFoote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S62"/>
  <sheetViews>
    <sheetView topLeftCell="A7" zoomScale="80" zoomScaleNormal="80" workbookViewId="0">
      <selection activeCell="P47" sqref="P47"/>
    </sheetView>
  </sheetViews>
  <sheetFormatPr defaultColWidth="8.1796875" defaultRowHeight="13" x14ac:dyDescent="0.35"/>
  <cols>
    <col min="1" max="1" width="8.1796875" style="256"/>
    <col min="2" max="2" width="28.1796875" style="256" hidden="1" customWidth="1"/>
    <col min="3" max="3" width="10.7265625" style="256" hidden="1" customWidth="1"/>
    <col min="4" max="4" width="11" style="256" hidden="1" customWidth="1"/>
    <col min="5" max="5" width="15" style="256" hidden="1" customWidth="1"/>
    <col min="6" max="6" width="5.1796875" style="256" customWidth="1"/>
    <col min="7" max="7" width="26" style="256" customWidth="1"/>
    <col min="8" max="8" width="11.453125" style="574" customWidth="1"/>
    <col min="9" max="9" width="10.81640625" style="256" customWidth="1"/>
    <col min="10" max="11" width="12.26953125" style="256" customWidth="1"/>
    <col min="12" max="12" width="28.453125" style="574" customWidth="1"/>
    <col min="13" max="13" width="34.453125" style="256" bestFit="1" customWidth="1"/>
    <col min="14" max="14" width="13" style="256" bestFit="1" customWidth="1"/>
    <col min="15" max="15" width="46.453125" style="256" bestFit="1" customWidth="1"/>
    <col min="16" max="16" width="28.26953125" style="574" customWidth="1"/>
    <col min="17" max="17" width="31.81640625" style="256" customWidth="1"/>
    <col min="18" max="18" width="11.453125" style="256" customWidth="1"/>
    <col min="19" max="19" width="12.26953125" style="256" customWidth="1"/>
    <col min="20" max="30" width="13" style="256" customWidth="1"/>
    <col min="31" max="31" width="5.81640625" style="256" customWidth="1"/>
    <col min="32" max="32" width="38.453125" style="256" bestFit="1" customWidth="1"/>
    <col min="33" max="33" width="13" style="256" bestFit="1" customWidth="1"/>
    <col min="34" max="34" width="48" style="256" bestFit="1" customWidth="1"/>
    <col min="35" max="16384" width="8.1796875" style="256"/>
  </cols>
  <sheetData>
    <row r="1" spans="2:45" ht="44.25" customHeight="1" thickBot="1" x14ac:dyDescent="0.4">
      <c r="B1" s="640" t="s">
        <v>396</v>
      </c>
      <c r="C1" s="641"/>
      <c r="D1" s="642">
        <v>44927</v>
      </c>
      <c r="E1" s="643"/>
      <c r="F1" s="643"/>
      <c r="G1" s="644" t="s">
        <v>397</v>
      </c>
      <c r="H1" s="640"/>
      <c r="I1" s="645"/>
      <c r="J1" s="640"/>
    </row>
    <row r="2" spans="2:45" ht="37" customHeight="1" thickBot="1" x14ac:dyDescent="0.4">
      <c r="B2" s="920" t="s">
        <v>310</v>
      </c>
      <c r="C2" s="921"/>
      <c r="D2" s="922"/>
      <c r="E2" s="643"/>
      <c r="F2" s="643"/>
      <c r="G2" s="927" t="s">
        <v>310</v>
      </c>
      <c r="H2" s="928"/>
      <c r="I2" s="928"/>
      <c r="J2" s="929"/>
      <c r="K2" s="575"/>
      <c r="M2" s="917" t="s">
        <v>313</v>
      </c>
      <c r="N2" s="918"/>
      <c r="O2" s="919"/>
      <c r="P2" s="575"/>
      <c r="U2" s="634"/>
      <c r="V2" s="634"/>
      <c r="W2" s="634"/>
      <c r="X2" s="634"/>
      <c r="Y2" s="634"/>
      <c r="Z2" s="634"/>
      <c r="AA2" s="634"/>
      <c r="AB2" s="634"/>
      <c r="AC2" s="634"/>
      <c r="AD2" s="634"/>
      <c r="AE2" s="575"/>
    </row>
    <row r="3" spans="2:45" ht="19.5" customHeight="1" thickBot="1" x14ac:dyDescent="0.4">
      <c r="B3" s="654" t="s">
        <v>314</v>
      </c>
      <c r="C3" s="655"/>
      <c r="D3" s="656">
        <v>120705.28</v>
      </c>
      <c r="E3" s="643"/>
      <c r="F3" s="643"/>
      <c r="G3" s="915" t="s">
        <v>252</v>
      </c>
      <c r="H3" s="916"/>
      <c r="I3" s="657" t="s">
        <v>2</v>
      </c>
      <c r="J3" s="658" t="s">
        <v>3</v>
      </c>
      <c r="K3" s="575"/>
      <c r="M3" s="576"/>
      <c r="N3" s="576"/>
      <c r="O3" s="577"/>
      <c r="P3" s="597"/>
      <c r="U3" s="635"/>
      <c r="V3" s="635"/>
      <c r="W3" s="635"/>
      <c r="X3" s="635"/>
      <c r="Y3" s="635"/>
      <c r="Z3" s="635"/>
      <c r="AA3" s="635"/>
      <c r="AB3" s="635"/>
      <c r="AC3" s="635"/>
      <c r="AD3" s="635"/>
      <c r="AE3" s="575"/>
      <c r="AP3" s="600"/>
      <c r="AQ3" s="433" t="s">
        <v>501</v>
      </c>
      <c r="AR3" s="433" t="s">
        <v>502</v>
      </c>
      <c r="AS3" s="434" t="s">
        <v>503</v>
      </c>
    </row>
    <row r="4" spans="2:45" ht="15" x14ac:dyDescent="0.3">
      <c r="B4" s="659" t="s">
        <v>316</v>
      </c>
      <c r="C4" s="660"/>
      <c r="D4" s="656">
        <v>48705.279999999999</v>
      </c>
      <c r="E4" s="643"/>
      <c r="F4" s="643"/>
      <c r="G4" s="661" t="s">
        <v>4</v>
      </c>
      <c r="H4" s="662">
        <f>'Master Lookup'!C4</f>
        <v>80829.631999999998</v>
      </c>
      <c r="I4" s="660">
        <v>1.5</v>
      </c>
      <c r="J4" s="656">
        <f>H4*I4</f>
        <v>121244.448</v>
      </c>
      <c r="K4" s="575"/>
      <c r="M4" s="310" t="s">
        <v>315</v>
      </c>
      <c r="N4" s="311" t="s">
        <v>3</v>
      </c>
      <c r="O4" s="312" t="s">
        <v>251</v>
      </c>
      <c r="P4" s="575"/>
      <c r="U4" s="596"/>
      <c r="AE4" s="596"/>
      <c r="AP4" s="601" t="str">
        <f>G2</f>
        <v>Recovery Support Centers 
Tier 1</v>
      </c>
      <c r="AQ4" s="603">
        <f>D15</f>
        <v>39489.320491907274</v>
      </c>
      <c r="AR4" s="604">
        <f>J18</f>
        <v>40414.183225980421</v>
      </c>
      <c r="AS4" s="435">
        <f>(AR4-AQ4)/AQ4</f>
        <v>2.3420578590677033E-2</v>
      </c>
    </row>
    <row r="5" spans="2:45" ht="15" x14ac:dyDescent="0.35">
      <c r="B5" s="663" t="s">
        <v>319</v>
      </c>
      <c r="C5" s="664"/>
      <c r="D5" s="656">
        <v>38937.599999999999</v>
      </c>
      <c r="E5" s="643"/>
      <c r="F5" s="643"/>
      <c r="G5" s="661" t="s">
        <v>544</v>
      </c>
      <c r="H5" s="662">
        <f>'Master Lookup'!C13</f>
        <v>56217.241600000001</v>
      </c>
      <c r="I5" s="660">
        <v>1</v>
      </c>
      <c r="J5" s="656">
        <f>H5*I5</f>
        <v>56217.241600000001</v>
      </c>
      <c r="K5" s="575"/>
      <c r="M5" s="571"/>
      <c r="N5" s="572"/>
      <c r="O5" s="573"/>
      <c r="U5" s="596"/>
      <c r="V5" s="634"/>
      <c r="W5" s="634"/>
      <c r="X5" s="634"/>
      <c r="Y5" s="634"/>
      <c r="Z5" s="634"/>
      <c r="AA5" s="634"/>
      <c r="AB5" s="634"/>
      <c r="AC5" s="634"/>
      <c r="AD5" s="634"/>
      <c r="AE5" s="596"/>
      <c r="AP5" s="601" t="str">
        <f>G22</f>
        <v>Recovery Support Centers 
Tier 2</v>
      </c>
      <c r="AQ5" s="603">
        <f>D35</f>
        <v>49071.798082902729</v>
      </c>
      <c r="AR5" s="604">
        <f>J38</f>
        <v>50855.689142068462</v>
      </c>
      <c r="AS5" s="435">
        <f>(AR5-AQ5)/AQ5</f>
        <v>3.635267361004374E-2</v>
      </c>
    </row>
    <row r="6" spans="2:45" ht="14.5" thickBot="1" x14ac:dyDescent="0.35">
      <c r="B6" s="665" t="s">
        <v>321</v>
      </c>
      <c r="C6" s="666"/>
      <c r="D6" s="667">
        <f>SUM(D3:D5)</f>
        <v>208348.16</v>
      </c>
      <c r="E6" s="643"/>
      <c r="F6" s="643"/>
      <c r="G6" s="671" t="s">
        <v>510</v>
      </c>
      <c r="H6" s="672">
        <f>'Master Lookup'!C14</f>
        <v>43247.567999999999</v>
      </c>
      <c r="I6" s="664">
        <v>1</v>
      </c>
      <c r="J6" s="656">
        <f>H6*I6</f>
        <v>43247.567999999999</v>
      </c>
      <c r="K6" s="575"/>
      <c r="M6" s="313" t="s">
        <v>317</v>
      </c>
      <c r="N6" s="314">
        <f>'Master Lookup'!C20</f>
        <v>0.24970000000000001</v>
      </c>
      <c r="O6" s="315" t="s">
        <v>518</v>
      </c>
      <c r="U6" s="596"/>
      <c r="AE6" s="575"/>
      <c r="AP6" s="602" t="str">
        <f>G43</f>
        <v>Recovery Support Centers 
Tier 3</v>
      </c>
      <c r="AQ6" s="605">
        <f>D56</f>
        <v>59843.865384098754</v>
      </c>
      <c r="AR6" s="606">
        <f>J59</f>
        <v>62850.082751899776</v>
      </c>
      <c r="AS6" s="436">
        <f>(AR6-AQ6)/AQ6</f>
        <v>5.0234344798854032E-2</v>
      </c>
    </row>
    <row r="7" spans="2:45" ht="14.5" x14ac:dyDescent="0.35">
      <c r="B7" s="668" t="s">
        <v>317</v>
      </c>
      <c r="C7" s="669">
        <v>0.2422</v>
      </c>
      <c r="D7" s="670">
        <f>D6*C7</f>
        <v>50461.924352000002</v>
      </c>
      <c r="E7" s="643"/>
      <c r="F7" s="643"/>
      <c r="G7" s="673" t="s">
        <v>321</v>
      </c>
      <c r="H7" s="674"/>
      <c r="I7" s="675">
        <f>SUM(I4:I6)</f>
        <v>3.5</v>
      </c>
      <c r="J7" s="676">
        <f>SUM(J4:J6)</f>
        <v>220709.25760000001</v>
      </c>
      <c r="K7" s="575"/>
      <c r="M7" s="316" t="s">
        <v>320</v>
      </c>
      <c r="N7" s="317"/>
      <c r="O7" s="318"/>
      <c r="U7" s="596"/>
      <c r="V7" s="634"/>
      <c r="W7" s="634"/>
      <c r="X7" s="634"/>
      <c r="Y7" s="634"/>
      <c r="Z7" s="634"/>
      <c r="AA7" s="634"/>
      <c r="AB7" s="634"/>
      <c r="AC7" s="634"/>
      <c r="AD7" s="634"/>
      <c r="AE7" s="575"/>
    </row>
    <row r="8" spans="2:45" ht="14" x14ac:dyDescent="0.3">
      <c r="B8" s="665" t="s">
        <v>325</v>
      </c>
      <c r="C8" s="646"/>
      <c r="D8" s="667">
        <f>D6+D7</f>
        <v>258810.08435200001</v>
      </c>
      <c r="E8" s="643"/>
      <c r="F8" s="643"/>
      <c r="G8" s="679"/>
      <c r="H8" s="680"/>
      <c r="I8" s="660"/>
      <c r="J8" s="681"/>
      <c r="K8" s="575"/>
      <c r="M8" s="319" t="s">
        <v>23</v>
      </c>
      <c r="N8" s="754">
        <f ca="1">'UFR FY23 Combined'!E5</f>
        <v>8516.4863039663633</v>
      </c>
      <c r="O8" s="320" t="s">
        <v>545</v>
      </c>
      <c r="U8" s="636"/>
      <c r="AE8" s="575"/>
    </row>
    <row r="9" spans="2:45" ht="14.5" x14ac:dyDescent="0.35">
      <c r="B9" s="677" t="s">
        <v>328</v>
      </c>
      <c r="C9" s="647">
        <v>144034</v>
      </c>
      <c r="D9" s="678">
        <f>C9</f>
        <v>144034</v>
      </c>
      <c r="E9" s="643"/>
      <c r="F9" s="643"/>
      <c r="G9" s="682" t="s">
        <v>317</v>
      </c>
      <c r="H9" s="683"/>
      <c r="I9" s="684">
        <f>$N6</f>
        <v>0.24970000000000001</v>
      </c>
      <c r="J9" s="681">
        <f>J7*I9</f>
        <v>55111.101622720002</v>
      </c>
      <c r="K9" s="575"/>
      <c r="M9" s="319" t="s">
        <v>323</v>
      </c>
      <c r="N9" s="755">
        <f>'UFR FY23 RSC 4930'!G5</f>
        <v>315.14153944020347</v>
      </c>
      <c r="O9" s="320" t="s">
        <v>545</v>
      </c>
      <c r="U9" s="636"/>
      <c r="V9" s="634"/>
      <c r="W9" s="634"/>
      <c r="X9" s="634"/>
      <c r="Y9" s="634"/>
      <c r="Z9" s="634"/>
      <c r="AA9" s="634"/>
      <c r="AB9" s="634"/>
      <c r="AC9" s="634"/>
      <c r="AD9" s="634"/>
      <c r="AE9" s="575"/>
      <c r="AI9" s="256" t="s">
        <v>522</v>
      </c>
    </row>
    <row r="10" spans="2:45" ht="14" x14ac:dyDescent="0.3">
      <c r="B10" s="665" t="s">
        <v>27</v>
      </c>
      <c r="C10" s="646"/>
      <c r="D10" s="670">
        <f>SUM(D8:D9)</f>
        <v>402844.08435200003</v>
      </c>
      <c r="E10" s="643"/>
      <c r="F10" s="643"/>
      <c r="G10" s="673" t="s">
        <v>325</v>
      </c>
      <c r="H10" s="674"/>
      <c r="I10" s="646"/>
      <c r="J10" s="676">
        <f>J7+J9</f>
        <v>275820.35922272003</v>
      </c>
      <c r="K10" s="575"/>
      <c r="M10" s="319" t="s">
        <v>326</v>
      </c>
      <c r="N10" s="321">
        <v>5000</v>
      </c>
      <c r="O10" s="320" t="s">
        <v>327</v>
      </c>
      <c r="U10" s="636"/>
      <c r="AE10" s="575"/>
    </row>
    <row r="11" spans="2:45" ht="15" thickBot="1" x14ac:dyDescent="0.4">
      <c r="B11" s="685" t="s">
        <v>334</v>
      </c>
      <c r="C11" s="686">
        <v>0.12</v>
      </c>
      <c r="D11" s="648">
        <f>D10*C11</f>
        <v>48341.290122240003</v>
      </c>
      <c r="E11" s="643"/>
      <c r="F11" s="643"/>
      <c r="G11" s="679"/>
      <c r="H11" s="680"/>
      <c r="I11" s="649"/>
      <c r="J11" s="681"/>
      <c r="K11" s="575"/>
      <c r="M11" s="319" t="s">
        <v>329</v>
      </c>
      <c r="N11" s="754">
        <f ca="1">'Master Lookup'!C18</f>
        <v>17228.263463673018</v>
      </c>
      <c r="O11" s="320" t="s">
        <v>545</v>
      </c>
      <c r="U11" s="636"/>
      <c r="V11" s="634"/>
      <c r="W11" s="634"/>
      <c r="X11" s="634"/>
      <c r="Y11" s="634"/>
      <c r="Z11" s="634"/>
      <c r="AA11" s="634"/>
      <c r="AB11" s="634"/>
      <c r="AC11" s="634"/>
      <c r="AD11" s="634"/>
      <c r="AE11" s="575"/>
      <c r="AI11" s="256" t="s">
        <v>522</v>
      </c>
    </row>
    <row r="12" spans="2:45" ht="14.5" thickTop="1" x14ac:dyDescent="0.3">
      <c r="B12" s="687" t="s">
        <v>336</v>
      </c>
      <c r="C12" s="688"/>
      <c r="D12" s="689">
        <f>SUM(D10:D11)</f>
        <v>451185.37447424006</v>
      </c>
      <c r="E12" s="643"/>
      <c r="F12" s="643"/>
      <c r="G12" s="858" t="s">
        <v>328</v>
      </c>
      <c r="H12" s="859"/>
      <c r="I12" s="860">
        <f>90000+(656*4)+5000+(10334*4)+(500*12)</f>
        <v>144960</v>
      </c>
      <c r="J12" s="861">
        <f>I12</f>
        <v>144960</v>
      </c>
      <c r="K12" s="575"/>
      <c r="M12" s="865" t="s">
        <v>331</v>
      </c>
      <c r="N12" s="866" t="s">
        <v>332</v>
      </c>
      <c r="O12" s="320" t="s">
        <v>527</v>
      </c>
      <c r="U12" s="636"/>
      <c r="AE12" s="575"/>
    </row>
    <row r="13" spans="2:45" ht="15" thickBot="1" x14ac:dyDescent="0.4">
      <c r="B13" s="690" t="str">
        <f>M33</f>
        <v>Cost Adjustment Factor (CAF)</v>
      </c>
      <c r="C13" s="691">
        <f>$N33</f>
        <v>5.6315761630557029E-2</v>
      </c>
      <c r="D13" s="692">
        <f>D10*C13</f>
        <v>22686.471428647244</v>
      </c>
      <c r="E13" s="643"/>
      <c r="F13" s="643"/>
      <c r="G13" s="673" t="s">
        <v>27</v>
      </c>
      <c r="H13" s="674"/>
      <c r="I13" s="646"/>
      <c r="J13" s="681">
        <f>SUM(J10:J12)</f>
        <v>420780.35922272003</v>
      </c>
      <c r="K13" s="575"/>
      <c r="M13" s="322" t="s">
        <v>78</v>
      </c>
      <c r="N13" s="323">
        <f>'[23]M2021 BLS Chart'!C34</f>
        <v>0.12</v>
      </c>
      <c r="O13" s="324" t="s">
        <v>335</v>
      </c>
      <c r="U13" s="637"/>
      <c r="V13" s="634"/>
      <c r="W13" s="634"/>
      <c r="X13" s="634"/>
      <c r="Y13" s="634"/>
      <c r="Z13" s="634"/>
      <c r="AA13" s="634"/>
      <c r="AB13" s="634"/>
      <c r="AC13" s="634"/>
      <c r="AD13" s="634"/>
      <c r="AE13" s="575"/>
    </row>
    <row r="14" spans="2:45" ht="14.5" thickBot="1" x14ac:dyDescent="0.35">
      <c r="B14" s="695" t="s">
        <v>338</v>
      </c>
      <c r="C14" s="696"/>
      <c r="D14" s="697">
        <f>D12+D13</f>
        <v>473871.84590288729</v>
      </c>
      <c r="E14" s="643"/>
      <c r="F14" s="643"/>
      <c r="G14" s="701" t="s">
        <v>334</v>
      </c>
      <c r="H14" s="702"/>
      <c r="I14" s="703">
        <f>$N13</f>
        <v>0.12</v>
      </c>
      <c r="J14" s="648">
        <f>J13*I14</f>
        <v>50493.643106726398</v>
      </c>
      <c r="K14" s="575"/>
      <c r="M14" s="325" t="s">
        <v>143</v>
      </c>
      <c r="N14" s="326">
        <f>'FALL 24 CAF'!CP38</f>
        <v>3.2549514448865162E-2</v>
      </c>
      <c r="O14" s="327" t="s">
        <v>521</v>
      </c>
      <c r="U14" s="636"/>
      <c r="AE14" s="575"/>
    </row>
    <row r="15" spans="2:45" ht="15.5" thickTop="1" thickBot="1" x14ac:dyDescent="0.4">
      <c r="B15" s="698" t="s">
        <v>339</v>
      </c>
      <c r="C15" s="699"/>
      <c r="D15" s="700">
        <f>D14/12</f>
        <v>39489.320491907274</v>
      </c>
      <c r="E15" s="643"/>
      <c r="F15" s="643"/>
      <c r="G15" s="704" t="s">
        <v>336</v>
      </c>
      <c r="H15" s="705"/>
      <c r="I15" s="705"/>
      <c r="J15" s="706">
        <f>SUM(J13:J14)</f>
        <v>471274.00232944643</v>
      </c>
      <c r="K15" s="575"/>
      <c r="M15" s="575"/>
      <c r="N15" s="575"/>
      <c r="O15" s="575"/>
      <c r="U15" s="638"/>
      <c r="V15" s="634"/>
      <c r="W15" s="634"/>
      <c r="X15" s="634"/>
      <c r="Y15" s="634"/>
      <c r="Z15" s="634"/>
      <c r="AA15" s="634"/>
      <c r="AB15" s="634"/>
      <c r="AC15" s="634"/>
      <c r="AD15" s="634"/>
      <c r="AE15" s="575"/>
    </row>
    <row r="16" spans="2:45" ht="14.5" thickBot="1" x14ac:dyDescent="0.35">
      <c r="B16" s="643"/>
      <c r="C16" s="643"/>
      <c r="D16" s="643"/>
      <c r="E16" s="643"/>
      <c r="F16" s="643"/>
      <c r="G16" s="707" t="str">
        <f>M14</f>
        <v>Cost Adjustment Factor (CAF)</v>
      </c>
      <c r="H16" s="708"/>
      <c r="I16" s="709">
        <f>'Master Lookup'!C22</f>
        <v>3.2549514448865162E-2</v>
      </c>
      <c r="J16" s="710">
        <f>I16*J13</f>
        <v>13696.196382318598</v>
      </c>
      <c r="K16" s="575"/>
      <c r="M16" s="575"/>
      <c r="N16" s="575"/>
      <c r="U16" s="636"/>
      <c r="AE16" s="575"/>
    </row>
    <row r="17" spans="2:31" ht="16" thickBot="1" x14ac:dyDescent="0.4">
      <c r="B17" s="643"/>
      <c r="C17" s="643"/>
      <c r="D17" s="643"/>
      <c r="E17" s="643"/>
      <c r="F17" s="643"/>
      <c r="G17" s="711" t="s">
        <v>338</v>
      </c>
      <c r="H17" s="712"/>
      <c r="I17" s="713"/>
      <c r="J17" s="714">
        <f>J15+J16</f>
        <v>484970.19871176506</v>
      </c>
      <c r="K17" s="575"/>
      <c r="M17" s="862"/>
      <c r="N17" s="863"/>
      <c r="O17" s="864"/>
      <c r="U17" s="596"/>
      <c r="V17" s="634"/>
      <c r="W17" s="634"/>
      <c r="X17" s="634"/>
      <c r="Y17" s="634"/>
      <c r="Z17" s="634"/>
      <c r="AA17" s="634"/>
      <c r="AB17" s="634"/>
      <c r="AC17" s="634"/>
      <c r="AD17" s="634"/>
      <c r="AE17" s="575"/>
    </row>
    <row r="18" spans="2:31" ht="14.5" thickBot="1" x14ac:dyDescent="0.35">
      <c r="B18" s="643"/>
      <c r="C18" s="643"/>
      <c r="D18" s="643"/>
      <c r="E18" s="643"/>
      <c r="F18" s="643"/>
      <c r="G18" s="715" t="s">
        <v>339</v>
      </c>
      <c r="H18" s="716"/>
      <c r="I18" s="717"/>
      <c r="J18" s="718">
        <f>J17/12</f>
        <v>40414.183225980421</v>
      </c>
      <c r="K18" s="575"/>
      <c r="U18" s="636"/>
      <c r="AE18" s="575"/>
    </row>
    <row r="19" spans="2:31" ht="14.5" x14ac:dyDescent="0.35">
      <c r="B19" s="643"/>
      <c r="C19" s="643"/>
      <c r="D19" s="643"/>
      <c r="E19" s="643"/>
      <c r="F19" s="643"/>
      <c r="G19" s="719"/>
      <c r="H19" s="720"/>
      <c r="I19" s="721" t="s">
        <v>507</v>
      </c>
      <c r="J19" s="650">
        <v>39489</v>
      </c>
      <c r="K19" s="578"/>
      <c r="M19" s="766"/>
      <c r="U19" s="639"/>
      <c r="V19" s="634"/>
      <c r="W19" s="634"/>
      <c r="X19" s="634"/>
      <c r="Y19" s="634"/>
      <c r="Z19" s="634"/>
      <c r="AA19" s="634"/>
      <c r="AB19" s="634"/>
      <c r="AC19" s="634"/>
      <c r="AD19" s="634"/>
      <c r="AE19" s="575"/>
    </row>
    <row r="20" spans="2:31" ht="14" x14ac:dyDescent="0.3">
      <c r="B20" s="643"/>
      <c r="C20" s="643"/>
      <c r="D20" s="643"/>
      <c r="E20" s="643"/>
      <c r="F20" s="643"/>
      <c r="G20" s="643"/>
      <c r="H20" s="651"/>
      <c r="I20" s="643" t="s">
        <v>495</v>
      </c>
      <c r="J20" s="652">
        <f>(J18-J19)/J19</f>
        <v>2.3428884650926116E-2</v>
      </c>
      <c r="P20" s="579"/>
      <c r="U20" s="569"/>
      <c r="AE20" s="575"/>
    </row>
    <row r="21" spans="2:31" ht="37.5" customHeight="1" thickBot="1" x14ac:dyDescent="0.4">
      <c r="B21" s="643"/>
      <c r="C21" s="643"/>
      <c r="D21" s="643"/>
      <c r="E21" s="643"/>
      <c r="F21" s="643"/>
      <c r="G21" s="643"/>
      <c r="H21" s="651"/>
      <c r="I21" s="643"/>
      <c r="J21" s="652"/>
      <c r="P21" s="575"/>
      <c r="U21" s="570"/>
      <c r="V21" s="634"/>
      <c r="W21" s="634"/>
      <c r="X21" s="634"/>
      <c r="Y21" s="634"/>
      <c r="Z21" s="634"/>
      <c r="AA21" s="634"/>
      <c r="AB21" s="634"/>
      <c r="AC21" s="634"/>
      <c r="AD21" s="634"/>
      <c r="AE21" s="575"/>
    </row>
    <row r="22" spans="2:31" ht="24.75" customHeight="1" thickBot="1" x14ac:dyDescent="0.35">
      <c r="B22" s="920" t="s">
        <v>311</v>
      </c>
      <c r="C22" s="921"/>
      <c r="D22" s="922"/>
      <c r="E22" s="643"/>
      <c r="F22" s="643"/>
      <c r="G22" s="930" t="s">
        <v>311</v>
      </c>
      <c r="H22" s="931"/>
      <c r="I22" s="931"/>
      <c r="J22" s="932"/>
      <c r="K22" s="575"/>
      <c r="L22" s="581"/>
      <c r="P22" s="575"/>
      <c r="Q22" s="575"/>
      <c r="R22" s="575"/>
      <c r="S22" s="575"/>
      <c r="T22" s="575"/>
      <c r="U22" s="575"/>
      <c r="AE22" s="575"/>
    </row>
    <row r="23" spans="2:31" ht="37.5" customHeight="1" thickBot="1" x14ac:dyDescent="0.4">
      <c r="B23" s="654" t="s">
        <v>314</v>
      </c>
      <c r="C23" s="655"/>
      <c r="D23" s="656">
        <v>120705.28</v>
      </c>
      <c r="E23" s="643"/>
      <c r="F23" s="643"/>
      <c r="G23" s="915" t="s">
        <v>252</v>
      </c>
      <c r="H23" s="916"/>
      <c r="I23" s="657" t="s">
        <v>2</v>
      </c>
      <c r="J23" s="658" t="s">
        <v>3</v>
      </c>
      <c r="K23" s="575"/>
      <c r="M23" s="924" t="s">
        <v>519</v>
      </c>
      <c r="N23" s="925"/>
      <c r="O23" s="926"/>
      <c r="P23" s="575"/>
      <c r="T23" s="582"/>
      <c r="U23" s="582"/>
      <c r="V23" s="634"/>
      <c r="W23" s="634"/>
      <c r="X23" s="634"/>
      <c r="Y23" s="634"/>
      <c r="Z23" s="634"/>
      <c r="AA23" s="634"/>
      <c r="AB23" s="634"/>
      <c r="AC23" s="634"/>
      <c r="AD23" s="634"/>
      <c r="AE23" s="582"/>
    </row>
    <row r="24" spans="2:31" ht="15" x14ac:dyDescent="0.3">
      <c r="B24" s="659" t="s">
        <v>316</v>
      </c>
      <c r="C24" s="660"/>
      <c r="D24" s="656">
        <v>73057.919999999998</v>
      </c>
      <c r="E24" s="643"/>
      <c r="F24" s="643"/>
      <c r="G24" s="661" t="s">
        <v>4</v>
      </c>
      <c r="H24" s="722">
        <f>'Master Lookup'!C4</f>
        <v>80829.631999999998</v>
      </c>
      <c r="I24" s="655">
        <v>1.5</v>
      </c>
      <c r="J24" s="656">
        <f>H24*I24</f>
        <v>121244.448</v>
      </c>
      <c r="K24" s="575"/>
      <c r="M24" s="733" t="s">
        <v>315</v>
      </c>
      <c r="N24" s="734" t="s">
        <v>3</v>
      </c>
      <c r="O24" s="735" t="s">
        <v>251</v>
      </c>
      <c r="P24" s="575"/>
      <c r="T24" s="583"/>
      <c r="U24" s="583"/>
      <c r="AE24" s="583"/>
    </row>
    <row r="25" spans="2:31" ht="14.5" x14ac:dyDescent="0.35">
      <c r="B25" s="663" t="s">
        <v>319</v>
      </c>
      <c r="C25" s="664"/>
      <c r="D25" s="656">
        <v>77875.199999999997</v>
      </c>
      <c r="E25" s="643"/>
      <c r="F25" s="643"/>
      <c r="G25" s="661" t="s">
        <v>544</v>
      </c>
      <c r="H25" s="722">
        <f>'Master Lookup'!C12</f>
        <v>56217.241600000001</v>
      </c>
      <c r="I25" s="660">
        <v>1.5</v>
      </c>
      <c r="J25" s="656">
        <f>H25*I25</f>
        <v>84325.862399999998</v>
      </c>
      <c r="K25" s="575"/>
      <c r="M25" s="736" t="s">
        <v>317</v>
      </c>
      <c r="N25" s="737">
        <v>0.2422</v>
      </c>
      <c r="O25" s="738" t="s">
        <v>318</v>
      </c>
      <c r="P25" s="575"/>
      <c r="T25" s="583"/>
      <c r="U25" s="583"/>
      <c r="V25" s="634"/>
      <c r="W25" s="634"/>
      <c r="X25" s="634"/>
      <c r="Y25" s="634"/>
      <c r="Z25" s="634"/>
      <c r="AA25" s="634"/>
      <c r="AB25" s="634"/>
      <c r="AC25" s="634"/>
      <c r="AD25" s="634"/>
      <c r="AE25" s="583"/>
    </row>
    <row r="26" spans="2:31" ht="14" x14ac:dyDescent="0.3">
      <c r="B26" s="665" t="s">
        <v>321</v>
      </c>
      <c r="C26" s="666"/>
      <c r="D26" s="667">
        <f>SUM(D23:D25)</f>
        <v>271638.40000000002</v>
      </c>
      <c r="E26" s="643"/>
      <c r="F26" s="643"/>
      <c r="G26" s="671" t="s">
        <v>510</v>
      </c>
      <c r="H26" s="723">
        <f>'Master Lookup'!C14</f>
        <v>43247.567999999999</v>
      </c>
      <c r="I26" s="664">
        <v>2</v>
      </c>
      <c r="J26" s="656">
        <f>H26*I26</f>
        <v>86495.135999999999</v>
      </c>
      <c r="K26" s="575"/>
      <c r="M26" s="739" t="s">
        <v>320</v>
      </c>
      <c r="N26" s="740"/>
      <c r="O26" s="741"/>
      <c r="P26" s="575"/>
      <c r="T26" s="583"/>
      <c r="U26" s="583"/>
      <c r="AE26" s="583"/>
    </row>
    <row r="27" spans="2:31" ht="14.5" x14ac:dyDescent="0.35">
      <c r="B27" s="668" t="s">
        <v>317</v>
      </c>
      <c r="C27" s="669">
        <v>0.2422</v>
      </c>
      <c r="D27" s="670">
        <f>D26*C27</f>
        <v>65790.820480000009</v>
      </c>
      <c r="E27" s="643"/>
      <c r="F27" s="643"/>
      <c r="G27" s="673" t="s">
        <v>321</v>
      </c>
      <c r="H27" s="674"/>
      <c r="I27" s="675">
        <f>SUM(I24:I26)</f>
        <v>5</v>
      </c>
      <c r="J27" s="676">
        <f>SUM(J24:J26)</f>
        <v>292065.44640000002</v>
      </c>
      <c r="K27" s="575"/>
      <c r="M27" s="742" t="s">
        <v>23</v>
      </c>
      <c r="N27" s="743">
        <v>7500</v>
      </c>
      <c r="O27" s="744" t="s">
        <v>322</v>
      </c>
      <c r="P27" s="575"/>
      <c r="T27" s="584"/>
      <c r="U27" s="584"/>
      <c r="V27" s="634"/>
      <c r="W27" s="634"/>
      <c r="X27" s="634"/>
      <c r="Y27" s="634"/>
      <c r="Z27" s="634"/>
      <c r="AA27" s="634"/>
      <c r="AB27" s="634"/>
      <c r="AC27" s="634"/>
      <c r="AD27" s="634"/>
      <c r="AE27" s="584"/>
    </row>
    <row r="28" spans="2:31" ht="14" x14ac:dyDescent="0.3">
      <c r="B28" s="665" t="s">
        <v>325</v>
      </c>
      <c r="C28" s="646"/>
      <c r="D28" s="667">
        <f>D26+D27</f>
        <v>337429.22048000002</v>
      </c>
      <c r="E28" s="643"/>
      <c r="F28" s="643"/>
      <c r="G28" s="679"/>
      <c r="H28" s="680"/>
      <c r="I28" s="660"/>
      <c r="J28" s="681"/>
      <c r="K28" s="575"/>
      <c r="M28" s="742" t="s">
        <v>323</v>
      </c>
      <c r="N28" s="745">
        <v>642</v>
      </c>
      <c r="O28" s="744" t="s">
        <v>324</v>
      </c>
      <c r="P28" s="575"/>
      <c r="T28" s="584"/>
      <c r="U28" s="584"/>
      <c r="AE28" s="584"/>
    </row>
    <row r="29" spans="2:31" ht="14" x14ac:dyDescent="0.3">
      <c r="B29" s="677" t="s">
        <v>328</v>
      </c>
      <c r="C29" s="647">
        <f>90000+(642*5.5)+5000+(10116*5.5)+(750*12)</f>
        <v>163169</v>
      </c>
      <c r="D29" s="724">
        <f>C29</f>
        <v>163169</v>
      </c>
      <c r="E29" s="643"/>
      <c r="F29" s="643"/>
      <c r="G29" s="682" t="s">
        <v>317</v>
      </c>
      <c r="H29" s="683"/>
      <c r="I29" s="684">
        <f>$N6</f>
        <v>0.24970000000000001</v>
      </c>
      <c r="J29" s="681">
        <f>J27*I29</f>
        <v>72928.741966080008</v>
      </c>
      <c r="K29" s="575"/>
      <c r="M29" s="742" t="s">
        <v>326</v>
      </c>
      <c r="N29" s="745">
        <v>5000</v>
      </c>
      <c r="O29" s="744" t="s">
        <v>327</v>
      </c>
      <c r="P29" s="575"/>
      <c r="T29" s="584"/>
      <c r="U29" s="584"/>
      <c r="V29" s="584"/>
      <c r="W29" s="584"/>
      <c r="X29" s="584"/>
      <c r="Y29" s="584"/>
      <c r="Z29" s="584"/>
      <c r="AA29" s="584"/>
      <c r="AB29" s="584"/>
      <c r="AC29" s="584"/>
      <c r="AD29" s="584"/>
      <c r="AE29" s="584"/>
    </row>
    <row r="30" spans="2:31" ht="14" x14ac:dyDescent="0.3">
      <c r="B30" s="665" t="s">
        <v>27</v>
      </c>
      <c r="C30" s="646"/>
      <c r="D30" s="670">
        <f>SUM(D28:D29)</f>
        <v>500598.22048000002</v>
      </c>
      <c r="E30" s="643"/>
      <c r="F30" s="643"/>
      <c r="G30" s="673" t="s">
        <v>325</v>
      </c>
      <c r="H30" s="674"/>
      <c r="I30" s="646"/>
      <c r="J30" s="676">
        <f>J27+J29</f>
        <v>364994.18836608005</v>
      </c>
      <c r="K30" s="575"/>
      <c r="M30" s="742" t="s">
        <v>329</v>
      </c>
      <c r="N30" s="745">
        <v>10116</v>
      </c>
      <c r="O30" s="744" t="s">
        <v>330</v>
      </c>
      <c r="P30" s="575"/>
      <c r="T30" s="585"/>
      <c r="U30" s="585"/>
      <c r="V30" s="585"/>
      <c r="W30" s="585"/>
      <c r="X30" s="585"/>
      <c r="Y30" s="585"/>
      <c r="Z30" s="585"/>
      <c r="AA30" s="585"/>
      <c r="AB30" s="585"/>
      <c r="AC30" s="585"/>
      <c r="AD30" s="585"/>
      <c r="AE30" s="585"/>
    </row>
    <row r="31" spans="2:31" ht="14.5" thickBot="1" x14ac:dyDescent="0.35">
      <c r="B31" s="685" t="s">
        <v>334</v>
      </c>
      <c r="C31" s="686">
        <v>0.12</v>
      </c>
      <c r="D31" s="648">
        <f>D30*C31</f>
        <v>60071.786457599999</v>
      </c>
      <c r="E31" s="643"/>
      <c r="F31" s="643"/>
      <c r="G31" s="679"/>
      <c r="H31" s="680"/>
      <c r="I31" s="649"/>
      <c r="J31" s="676"/>
      <c r="K31" s="575"/>
      <c r="M31" s="746" t="s">
        <v>331</v>
      </c>
      <c r="N31" s="747" t="s">
        <v>332</v>
      </c>
      <c r="O31" s="744" t="s">
        <v>333</v>
      </c>
      <c r="P31" s="575"/>
      <c r="T31" s="584"/>
      <c r="U31" s="584"/>
      <c r="V31" s="584"/>
      <c r="W31" s="584"/>
      <c r="X31" s="584"/>
      <c r="Y31" s="584"/>
      <c r="Z31" s="584"/>
      <c r="AA31" s="584"/>
      <c r="AB31" s="584"/>
      <c r="AC31" s="584"/>
      <c r="AD31" s="584"/>
      <c r="AE31" s="584"/>
    </row>
    <row r="32" spans="2:31" ht="15" thickTop="1" thickBot="1" x14ac:dyDescent="0.35">
      <c r="B32" s="687" t="s">
        <v>336</v>
      </c>
      <c r="C32" s="688"/>
      <c r="D32" s="689">
        <f>SUM(D30:D31)</f>
        <v>560670.00693759997</v>
      </c>
      <c r="E32" s="643"/>
      <c r="F32" s="643"/>
      <c r="G32" s="725" t="s">
        <v>328</v>
      </c>
      <c r="H32" s="693"/>
      <c r="I32" s="647">
        <f>90000+(656*5.5)+5000+(10344*5.5)+(750*12)</f>
        <v>164500</v>
      </c>
      <c r="J32" s="726">
        <f>I32</f>
        <v>164500</v>
      </c>
      <c r="K32" s="575"/>
      <c r="M32" s="748" t="s">
        <v>78</v>
      </c>
      <c r="N32" s="749">
        <v>0.12</v>
      </c>
      <c r="O32" s="750" t="s">
        <v>335</v>
      </c>
      <c r="P32" s="575"/>
      <c r="T32" s="586"/>
      <c r="U32" s="586"/>
      <c r="V32" s="586"/>
      <c r="W32" s="586"/>
      <c r="X32" s="586"/>
      <c r="Y32" s="586"/>
      <c r="Z32" s="586"/>
      <c r="AA32" s="586"/>
      <c r="AB32" s="586"/>
      <c r="AC32" s="586"/>
      <c r="AD32" s="586"/>
      <c r="AE32" s="586"/>
    </row>
    <row r="33" spans="2:34" ht="14.5" thickBot="1" x14ac:dyDescent="0.35">
      <c r="B33" s="690" t="str">
        <f>M33</f>
        <v>Cost Adjustment Factor (CAF)</v>
      </c>
      <c r="C33" s="691">
        <f>$N33</f>
        <v>5.6315761630557029E-2</v>
      </c>
      <c r="D33" s="692">
        <f>D30*C33</f>
        <v>28191.570057232711</v>
      </c>
      <c r="E33" s="643"/>
      <c r="F33" s="643"/>
      <c r="G33" s="673" t="s">
        <v>27</v>
      </c>
      <c r="H33" s="674"/>
      <c r="I33" s="646"/>
      <c r="J33" s="681">
        <f>SUM(J30:J32)</f>
        <v>529494.18836608005</v>
      </c>
      <c r="K33" s="575"/>
      <c r="M33" s="751" t="s">
        <v>143</v>
      </c>
      <c r="N33" s="752">
        <v>5.6315761630557029E-2</v>
      </c>
      <c r="O33" s="753" t="s">
        <v>337</v>
      </c>
      <c r="P33" s="575"/>
      <c r="T33" s="584"/>
      <c r="U33" s="584"/>
      <c r="V33" s="584"/>
      <c r="W33" s="584"/>
      <c r="X33" s="584"/>
      <c r="Y33" s="584"/>
      <c r="Z33" s="584"/>
      <c r="AA33" s="584"/>
      <c r="AB33" s="584"/>
      <c r="AC33" s="584"/>
      <c r="AD33" s="584"/>
      <c r="AE33" s="584"/>
    </row>
    <row r="34" spans="2:34" ht="14.5" thickBot="1" x14ac:dyDescent="0.35">
      <c r="B34" s="695" t="s">
        <v>338</v>
      </c>
      <c r="C34" s="696"/>
      <c r="D34" s="697">
        <f>D32+D33</f>
        <v>588861.57699483272</v>
      </c>
      <c r="E34" s="643"/>
      <c r="F34" s="643"/>
      <c r="G34" s="701" t="s">
        <v>334</v>
      </c>
      <c r="H34" s="702"/>
      <c r="I34" s="703">
        <f>$N13</f>
        <v>0.12</v>
      </c>
      <c r="J34" s="648">
        <f>J33*I34</f>
        <v>63539.302603929602</v>
      </c>
      <c r="K34" s="575"/>
      <c r="O34" s="587"/>
      <c r="P34" s="575"/>
      <c r="T34" s="587"/>
      <c r="U34" s="587"/>
      <c r="V34" s="587"/>
      <c r="W34" s="587"/>
      <c r="X34" s="587"/>
      <c r="Y34" s="587"/>
      <c r="Z34" s="587"/>
      <c r="AA34" s="587"/>
      <c r="AB34" s="587"/>
      <c r="AC34" s="587"/>
      <c r="AD34" s="587"/>
      <c r="AE34" s="575"/>
      <c r="AF34" s="575"/>
    </row>
    <row r="35" spans="2:34" ht="15" thickTop="1" thickBot="1" x14ac:dyDescent="0.35">
      <c r="B35" s="698" t="s">
        <v>339</v>
      </c>
      <c r="C35" s="699"/>
      <c r="D35" s="700">
        <f>D34/12</f>
        <v>49071.798082902729</v>
      </c>
      <c r="E35" s="643"/>
      <c r="F35" s="643"/>
      <c r="G35" s="704" t="s">
        <v>336</v>
      </c>
      <c r="H35" s="705"/>
      <c r="I35" s="705"/>
      <c r="J35" s="706">
        <f>SUM(J33:J34)</f>
        <v>593033.49097000971</v>
      </c>
      <c r="O35" s="584"/>
      <c r="P35" s="575"/>
      <c r="T35" s="584"/>
      <c r="U35" s="584"/>
      <c r="V35" s="584"/>
      <c r="W35" s="584"/>
      <c r="X35" s="584"/>
      <c r="Y35" s="584"/>
      <c r="Z35" s="584"/>
      <c r="AA35" s="584"/>
      <c r="AB35" s="584"/>
      <c r="AC35" s="584"/>
      <c r="AD35" s="584"/>
      <c r="AE35" s="575"/>
      <c r="AF35" s="575"/>
    </row>
    <row r="36" spans="2:34" ht="14.5" thickBot="1" x14ac:dyDescent="0.35">
      <c r="B36" s="643"/>
      <c r="C36" s="643"/>
      <c r="D36" s="643"/>
      <c r="E36" s="643"/>
      <c r="F36" s="643"/>
      <c r="G36" s="707" t="str">
        <f>M14</f>
        <v>Cost Adjustment Factor (CAF)</v>
      </c>
      <c r="H36" s="708"/>
      <c r="I36" s="709">
        <f>I16</f>
        <v>3.2549514448865162E-2</v>
      </c>
      <c r="J36" s="710">
        <f>I36*J33</f>
        <v>17234.778734811855</v>
      </c>
      <c r="O36" s="580"/>
      <c r="P36" s="575"/>
      <c r="T36" s="580"/>
      <c r="U36" s="580"/>
      <c r="V36" s="580"/>
      <c r="W36" s="580"/>
      <c r="X36" s="580"/>
      <c r="Y36" s="580"/>
      <c r="Z36" s="580"/>
      <c r="AA36" s="580"/>
      <c r="AB36" s="580"/>
      <c r="AC36" s="580"/>
      <c r="AD36" s="580"/>
      <c r="AE36" s="575"/>
      <c r="AF36" s="575"/>
      <c r="AG36" s="575"/>
      <c r="AH36" s="575"/>
    </row>
    <row r="37" spans="2:34" ht="13.5" thickBot="1" x14ac:dyDescent="0.35">
      <c r="B37" s="643"/>
      <c r="C37" s="643"/>
      <c r="D37" s="643"/>
      <c r="E37" s="643"/>
      <c r="F37" s="643"/>
      <c r="G37" s="711" t="s">
        <v>338</v>
      </c>
      <c r="H37" s="712"/>
      <c r="I37" s="713"/>
      <c r="J37" s="714">
        <f>J35+J36</f>
        <v>610268.26970482152</v>
      </c>
      <c r="L37" s="581"/>
      <c r="P37" s="575"/>
      <c r="Q37" s="575"/>
      <c r="R37" s="575"/>
      <c r="S37" s="575"/>
      <c r="T37" s="588"/>
      <c r="U37" s="588"/>
      <c r="V37" s="588"/>
      <c r="W37" s="588"/>
      <c r="X37" s="588"/>
      <c r="Y37" s="588"/>
      <c r="Z37" s="588"/>
      <c r="AA37" s="588"/>
      <c r="AB37" s="588"/>
      <c r="AC37" s="588"/>
      <c r="AD37" s="588"/>
      <c r="AF37" s="575"/>
    </row>
    <row r="38" spans="2:34" ht="14.5" thickBot="1" x14ac:dyDescent="0.35">
      <c r="B38" s="643"/>
      <c r="C38" s="643"/>
      <c r="D38" s="643"/>
      <c r="E38" s="643"/>
      <c r="F38" s="643"/>
      <c r="G38" s="715" t="s">
        <v>339</v>
      </c>
      <c r="H38" s="716"/>
      <c r="I38" s="717"/>
      <c r="J38" s="718">
        <f>J37/12</f>
        <v>50855.689142068462</v>
      </c>
      <c r="K38" s="589"/>
      <c r="L38" s="581"/>
      <c r="P38" s="581"/>
      <c r="Q38" s="581"/>
      <c r="R38" s="581"/>
      <c r="S38" s="575"/>
      <c r="T38" s="575"/>
      <c r="U38" s="575"/>
      <c r="V38" s="575"/>
      <c r="W38" s="575"/>
      <c r="X38" s="575"/>
      <c r="Y38" s="575"/>
      <c r="Z38" s="575"/>
      <c r="AA38" s="575"/>
      <c r="AB38" s="575"/>
      <c r="AC38" s="575"/>
      <c r="AD38" s="575"/>
    </row>
    <row r="39" spans="2:34" x14ac:dyDescent="0.3">
      <c r="B39" s="643"/>
      <c r="C39" s="643"/>
      <c r="D39" s="643"/>
      <c r="E39" s="643"/>
      <c r="F39" s="643"/>
      <c r="G39" s="720"/>
      <c r="H39" s="721"/>
      <c r="I39" s="721" t="s">
        <v>507</v>
      </c>
      <c r="J39" s="650">
        <v>49072</v>
      </c>
      <c r="L39" s="581"/>
      <c r="P39" s="581"/>
      <c r="Q39" s="581"/>
      <c r="R39" s="581"/>
      <c r="S39" s="575"/>
      <c r="T39" s="575"/>
      <c r="U39" s="575"/>
      <c r="V39" s="575"/>
      <c r="W39" s="575"/>
      <c r="X39" s="575"/>
      <c r="Y39" s="575"/>
      <c r="Z39" s="575"/>
      <c r="AA39" s="575"/>
      <c r="AB39" s="575"/>
      <c r="AC39" s="575"/>
      <c r="AD39" s="575"/>
    </row>
    <row r="40" spans="2:34" ht="14" x14ac:dyDescent="0.3">
      <c r="B40" s="643"/>
      <c r="C40" s="643"/>
      <c r="D40" s="643"/>
      <c r="E40" s="643"/>
      <c r="F40" s="643"/>
      <c r="G40" s="651"/>
      <c r="H40" s="643"/>
      <c r="I40" s="643" t="s">
        <v>495</v>
      </c>
      <c r="J40" s="652">
        <f>(J38-J39)/J39</f>
        <v>3.6348409318317218E-2</v>
      </c>
      <c r="L40" s="581"/>
      <c r="M40" s="590"/>
      <c r="N40" s="591"/>
      <c r="O40" s="589"/>
      <c r="P40" s="581"/>
      <c r="Q40" s="581"/>
      <c r="R40" s="581"/>
      <c r="S40" s="592"/>
      <c r="T40" s="575"/>
      <c r="U40" s="575"/>
      <c r="V40" s="575"/>
      <c r="W40" s="575"/>
      <c r="X40" s="575"/>
      <c r="Y40" s="575"/>
      <c r="Z40" s="575"/>
      <c r="AA40" s="575"/>
      <c r="AB40" s="575"/>
      <c r="AC40" s="575"/>
      <c r="AD40" s="575"/>
    </row>
    <row r="41" spans="2:34" x14ac:dyDescent="0.3">
      <c r="B41" s="643"/>
      <c r="C41" s="643"/>
      <c r="D41" s="643"/>
      <c r="E41" s="643"/>
      <c r="F41" s="643"/>
      <c r="G41" s="643"/>
      <c r="H41" s="653"/>
      <c r="I41" s="643"/>
      <c r="J41" s="643"/>
      <c r="L41" s="581"/>
      <c r="P41" s="581"/>
      <c r="Q41" s="581"/>
      <c r="R41" s="581"/>
      <c r="AE41" s="591"/>
    </row>
    <row r="42" spans="2:34" ht="14.5" thickBot="1" x14ac:dyDescent="0.35">
      <c r="B42" s="643"/>
      <c r="C42" s="643"/>
      <c r="D42" s="643"/>
      <c r="E42" s="643"/>
      <c r="F42" s="643"/>
      <c r="G42" s="643"/>
      <c r="H42" s="653"/>
      <c r="I42" s="643"/>
      <c r="J42" s="643"/>
      <c r="L42" s="581"/>
      <c r="P42" s="581"/>
      <c r="Q42" s="581"/>
      <c r="R42" s="581"/>
      <c r="S42" s="593"/>
      <c r="AE42" s="591"/>
    </row>
    <row r="43" spans="2:34" ht="14.5" thickBot="1" x14ac:dyDescent="0.35">
      <c r="B43" s="923" t="s">
        <v>312</v>
      </c>
      <c r="C43" s="921"/>
      <c r="D43" s="922"/>
      <c r="E43" s="643"/>
      <c r="F43" s="643"/>
      <c r="G43" s="930" t="s">
        <v>312</v>
      </c>
      <c r="H43" s="931"/>
      <c r="I43" s="931"/>
      <c r="J43" s="933"/>
      <c r="L43" s="581"/>
      <c r="P43" s="581"/>
      <c r="Q43" s="581"/>
      <c r="R43" s="581"/>
      <c r="S43" s="594"/>
      <c r="AE43" s="591"/>
    </row>
    <row r="44" spans="2:34" ht="14" x14ac:dyDescent="0.3">
      <c r="B44" s="654" t="s">
        <v>314</v>
      </c>
      <c r="C44" s="655"/>
      <c r="D44" s="656">
        <v>120705.28</v>
      </c>
      <c r="E44" s="643"/>
      <c r="F44" s="643"/>
      <c r="G44" s="915" t="s">
        <v>252</v>
      </c>
      <c r="H44" s="916"/>
      <c r="I44" s="657" t="s">
        <v>2</v>
      </c>
      <c r="J44" s="658" t="s">
        <v>3</v>
      </c>
      <c r="L44" s="581"/>
      <c r="P44" s="581"/>
      <c r="Q44" s="581"/>
      <c r="R44" s="581"/>
      <c r="S44" s="594"/>
    </row>
    <row r="45" spans="2:34" ht="14" x14ac:dyDescent="0.3">
      <c r="B45" s="659" t="s">
        <v>316</v>
      </c>
      <c r="C45" s="660"/>
      <c r="D45" s="656">
        <v>146115.84</v>
      </c>
      <c r="E45" s="643"/>
      <c r="F45" s="643"/>
      <c r="G45" s="661" t="s">
        <v>4</v>
      </c>
      <c r="H45" s="722">
        <f>'Master Lookup'!C4</f>
        <v>80829.631999999998</v>
      </c>
      <c r="I45" s="727">
        <v>1.5</v>
      </c>
      <c r="J45" s="656">
        <f>H45*I45</f>
        <v>121244.448</v>
      </c>
      <c r="L45" s="581"/>
      <c r="P45" s="581"/>
      <c r="Q45" s="581"/>
      <c r="R45" s="581"/>
      <c r="S45" s="594"/>
    </row>
    <row r="46" spans="2:34" ht="14" x14ac:dyDescent="0.3">
      <c r="B46" s="663" t="s">
        <v>319</v>
      </c>
      <c r="C46" s="660"/>
      <c r="D46" s="656">
        <v>77875.199999999997</v>
      </c>
      <c r="E46" s="643"/>
      <c r="F46" s="643"/>
      <c r="G46" s="661" t="s">
        <v>544</v>
      </c>
      <c r="H46" s="722">
        <f>'Master Lookup'!C12</f>
        <v>56217.241600000001</v>
      </c>
      <c r="I46" s="728">
        <v>3</v>
      </c>
      <c r="J46" s="656">
        <f>H46*I46</f>
        <v>168651.7248</v>
      </c>
      <c r="L46" s="595"/>
      <c r="P46" s="581"/>
      <c r="Q46" s="581"/>
      <c r="R46" s="581"/>
      <c r="S46" s="594"/>
    </row>
    <row r="47" spans="2:34" ht="14" x14ac:dyDescent="0.3">
      <c r="B47" s="665" t="s">
        <v>321</v>
      </c>
      <c r="C47" s="666"/>
      <c r="D47" s="667">
        <f>SUM(D44:D46)</f>
        <v>344696.32000000001</v>
      </c>
      <c r="E47" s="643"/>
      <c r="F47" s="643"/>
      <c r="G47" s="671" t="s">
        <v>520</v>
      </c>
      <c r="H47" s="723">
        <f>'Master Lookup'!C14</f>
        <v>43247.567999999999</v>
      </c>
      <c r="I47" s="728">
        <v>2</v>
      </c>
      <c r="J47" s="656">
        <f>H47*I47</f>
        <v>86495.135999999999</v>
      </c>
      <c r="P47" s="581"/>
      <c r="Q47" s="581"/>
      <c r="R47" s="581"/>
      <c r="S47" s="594"/>
    </row>
    <row r="48" spans="2:34" x14ac:dyDescent="0.3">
      <c r="B48" s="668" t="s">
        <v>317</v>
      </c>
      <c r="C48" s="669">
        <v>0.2422</v>
      </c>
      <c r="D48" s="670">
        <f>D47*C48</f>
        <v>83485.448703999995</v>
      </c>
      <c r="E48" s="643"/>
      <c r="F48" s="643"/>
      <c r="G48" s="673" t="s">
        <v>321</v>
      </c>
      <c r="H48" s="729"/>
      <c r="I48" s="730">
        <f>SUM(I45:I47)</f>
        <v>6.5</v>
      </c>
      <c r="J48" s="676">
        <f>SUM(J45:J47)</f>
        <v>376391.3088</v>
      </c>
      <c r="P48" s="595"/>
      <c r="Q48" s="595"/>
      <c r="R48" s="595"/>
    </row>
    <row r="49" spans="2:10" x14ac:dyDescent="0.3">
      <c r="B49" s="665" t="s">
        <v>325</v>
      </c>
      <c r="C49" s="646"/>
      <c r="D49" s="667">
        <f>D47+D48</f>
        <v>428181.76870399999</v>
      </c>
      <c r="E49" s="643"/>
      <c r="F49" s="643"/>
      <c r="G49" s="679"/>
      <c r="H49" s="723"/>
      <c r="I49" s="728"/>
      <c r="J49" s="681"/>
    </row>
    <row r="50" spans="2:10" x14ac:dyDescent="0.3">
      <c r="B50" s="677" t="s">
        <v>328</v>
      </c>
      <c r="C50" s="647">
        <f>90000+(10116*7)+(642*7)+5000+12000</f>
        <v>182306</v>
      </c>
      <c r="D50" s="731">
        <f>C50</f>
        <v>182306</v>
      </c>
      <c r="E50" s="643"/>
      <c r="F50" s="643"/>
      <c r="G50" s="682" t="s">
        <v>317</v>
      </c>
      <c r="H50" s="683"/>
      <c r="I50" s="684">
        <f>$N6</f>
        <v>0.24970000000000001</v>
      </c>
      <c r="J50" s="681">
        <f>J48*I50</f>
        <v>93984.909807360003</v>
      </c>
    </row>
    <row r="51" spans="2:10" x14ac:dyDescent="0.3">
      <c r="B51" s="665" t="s">
        <v>27</v>
      </c>
      <c r="C51" s="646"/>
      <c r="D51" s="670">
        <f>SUM(D49:D50)</f>
        <v>610487.76870399993</v>
      </c>
      <c r="E51" s="643"/>
      <c r="F51" s="643"/>
      <c r="G51" s="673" t="s">
        <v>325</v>
      </c>
      <c r="H51" s="674"/>
      <c r="I51" s="646"/>
      <c r="J51" s="676">
        <f>J48+J50</f>
        <v>470376.21860736003</v>
      </c>
    </row>
    <row r="52" spans="2:10" ht="13.5" thickBot="1" x14ac:dyDescent="0.35">
      <c r="B52" s="685" t="s">
        <v>334</v>
      </c>
      <c r="C52" s="686">
        <v>0.12</v>
      </c>
      <c r="D52" s="648">
        <f>D51*C52</f>
        <v>73258.532244479982</v>
      </c>
      <c r="E52" s="643"/>
      <c r="F52" s="643"/>
      <c r="G52" s="679"/>
      <c r="H52" s="680"/>
      <c r="I52" s="649"/>
      <c r="J52" s="732"/>
    </row>
    <row r="53" spans="2:10" ht="13.5" thickTop="1" x14ac:dyDescent="0.3">
      <c r="B53" s="687" t="s">
        <v>336</v>
      </c>
      <c r="C53" s="688"/>
      <c r="D53" s="689">
        <f>SUM(D51:D52)</f>
        <v>683746.30094847991</v>
      </c>
      <c r="E53" s="643"/>
      <c r="F53" s="643"/>
      <c r="G53" s="725" t="s">
        <v>328</v>
      </c>
      <c r="H53" s="693"/>
      <c r="I53" s="647">
        <f>90000+(10344*7)+(656*7)+5000+12000</f>
        <v>184000</v>
      </c>
      <c r="J53" s="694">
        <f>I53</f>
        <v>184000</v>
      </c>
    </row>
    <row r="54" spans="2:10" ht="13.5" thickBot="1" x14ac:dyDescent="0.35">
      <c r="B54" s="690" t="str">
        <f>M33</f>
        <v>Cost Adjustment Factor (CAF)</v>
      </c>
      <c r="C54" s="691">
        <f>$N33</f>
        <v>5.6315761630557029E-2</v>
      </c>
      <c r="D54" s="692">
        <f>D51*C54</f>
        <v>34380.083660705095</v>
      </c>
      <c r="E54" s="643"/>
      <c r="F54" s="643"/>
      <c r="G54" s="673" t="s">
        <v>27</v>
      </c>
      <c r="H54" s="674"/>
      <c r="I54" s="646"/>
      <c r="J54" s="681">
        <f>SUM(J51:J53)</f>
        <v>654376.21860736003</v>
      </c>
    </row>
    <row r="55" spans="2:10" ht="13.5" thickBot="1" x14ac:dyDescent="0.35">
      <c r="B55" s="695" t="s">
        <v>338</v>
      </c>
      <c r="C55" s="696"/>
      <c r="D55" s="697">
        <f>D53+D54</f>
        <v>718126.38460918504</v>
      </c>
      <c r="E55" s="643"/>
      <c r="F55" s="643"/>
      <c r="G55" s="701" t="s">
        <v>334</v>
      </c>
      <c r="H55" s="702"/>
      <c r="I55" s="703">
        <f>$N13</f>
        <v>0.12</v>
      </c>
      <c r="J55" s="648">
        <f>J54*I55</f>
        <v>78525.146232883199</v>
      </c>
    </row>
    <row r="56" spans="2:10" ht="14" thickTop="1" thickBot="1" x14ac:dyDescent="0.35">
      <c r="B56" s="698" t="s">
        <v>339</v>
      </c>
      <c r="C56" s="699"/>
      <c r="D56" s="700">
        <f>D55/12</f>
        <v>59843.865384098754</v>
      </c>
      <c r="E56" s="643"/>
      <c r="F56" s="643"/>
      <c r="G56" s="704" t="s">
        <v>336</v>
      </c>
      <c r="H56" s="705"/>
      <c r="I56" s="705"/>
      <c r="J56" s="706">
        <f>SUM(J54:J55)</f>
        <v>732901.36484024324</v>
      </c>
    </row>
    <row r="57" spans="2:10" ht="13.5" thickBot="1" x14ac:dyDescent="0.35">
      <c r="B57" s="643"/>
      <c r="C57" s="643"/>
      <c r="D57" s="643"/>
      <c r="E57" s="643"/>
      <c r="F57" s="643"/>
      <c r="G57" s="707" t="str">
        <f>M14</f>
        <v>Cost Adjustment Factor (CAF)</v>
      </c>
      <c r="H57" s="708"/>
      <c r="I57" s="709">
        <f>I16</f>
        <v>3.2549514448865162E-2</v>
      </c>
      <c r="J57" s="710">
        <f>I57*J54</f>
        <v>21299.628182554014</v>
      </c>
    </row>
    <row r="58" spans="2:10" ht="13.5" thickBot="1" x14ac:dyDescent="0.35">
      <c r="B58" s="643"/>
      <c r="C58" s="643"/>
      <c r="D58" s="643"/>
      <c r="E58" s="643"/>
      <c r="F58" s="643"/>
      <c r="G58" s="711" t="s">
        <v>338</v>
      </c>
      <c r="H58" s="712"/>
      <c r="I58" s="713"/>
      <c r="J58" s="714">
        <f>J56+J57</f>
        <v>754200.99302279728</v>
      </c>
    </row>
    <row r="59" spans="2:10" ht="13.5" thickBot="1" x14ac:dyDescent="0.35">
      <c r="B59" s="643"/>
      <c r="C59" s="643"/>
      <c r="D59" s="643"/>
      <c r="E59" s="643"/>
      <c r="F59" s="643"/>
      <c r="G59" s="715" t="s">
        <v>339</v>
      </c>
      <c r="H59" s="716"/>
      <c r="I59" s="717"/>
      <c r="J59" s="718">
        <f>J58/12</f>
        <v>62850.082751899776</v>
      </c>
    </row>
    <row r="60" spans="2:10" x14ac:dyDescent="0.3">
      <c r="B60" s="643"/>
      <c r="C60" s="643"/>
      <c r="D60" s="643"/>
      <c r="E60" s="643"/>
      <c r="G60" s="721"/>
      <c r="H60" s="651"/>
      <c r="I60" s="721" t="s">
        <v>507</v>
      </c>
      <c r="J60" s="650">
        <v>59844</v>
      </c>
    </row>
    <row r="61" spans="2:10" x14ac:dyDescent="0.3">
      <c r="B61" s="643"/>
      <c r="C61" s="643"/>
      <c r="D61" s="643"/>
      <c r="E61" s="643"/>
      <c r="G61" s="651"/>
      <c r="H61" s="651"/>
      <c r="I61" s="643" t="s">
        <v>495</v>
      </c>
      <c r="J61" s="652">
        <f>(J59-J60)/J60</f>
        <v>5.0231982352445956E-2</v>
      </c>
    </row>
    <row r="62" spans="2:10" x14ac:dyDescent="0.35">
      <c r="B62" s="643"/>
      <c r="C62" s="643"/>
      <c r="D62" s="643"/>
      <c r="E62" s="643"/>
    </row>
  </sheetData>
  <mergeCells count="11">
    <mergeCell ref="G44:H44"/>
    <mergeCell ref="M2:O2"/>
    <mergeCell ref="B2:D2"/>
    <mergeCell ref="B22:D22"/>
    <mergeCell ref="B43:D43"/>
    <mergeCell ref="M23:O23"/>
    <mergeCell ref="G3:H3"/>
    <mergeCell ref="G2:J2"/>
    <mergeCell ref="G22:J22"/>
    <mergeCell ref="G43:J43"/>
    <mergeCell ref="G23:H23"/>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O102"/>
  <sheetViews>
    <sheetView tabSelected="1" zoomScaleNormal="100" workbookViewId="0">
      <selection activeCell="K57" sqref="K57"/>
    </sheetView>
  </sheetViews>
  <sheetFormatPr defaultColWidth="8.7265625" defaultRowHeight="14.5" x14ac:dyDescent="0.35"/>
  <cols>
    <col min="2" max="2" width="38.453125" customWidth="1"/>
    <col min="3" max="3" width="24.453125" customWidth="1"/>
    <col min="4" max="4" width="25.1796875" customWidth="1"/>
    <col min="5" max="5" width="1.1796875" customWidth="1"/>
    <col min="6" max="6" width="28" customWidth="1"/>
    <col min="7" max="7" width="6.453125" customWidth="1"/>
    <col min="8" max="8" width="14.7265625" customWidth="1"/>
    <col min="9" max="9" width="12" bestFit="1" customWidth="1"/>
    <col min="11" max="12" width="8.7265625" customWidth="1"/>
    <col min="14" max="15" width="10" bestFit="1" customWidth="1"/>
  </cols>
  <sheetData>
    <row r="1" spans="2:15" x14ac:dyDescent="0.35">
      <c r="B1" t="s">
        <v>397</v>
      </c>
      <c r="D1" s="364"/>
    </row>
    <row r="2" spans="2:15" x14ac:dyDescent="0.35">
      <c r="B2" s="939" t="s">
        <v>257</v>
      </c>
      <c r="C2" s="939"/>
      <c r="D2" s="939"/>
      <c r="E2" s="269"/>
      <c r="F2" s="269"/>
      <c r="G2" s="269"/>
      <c r="H2" s="255"/>
      <c r="I2" s="255"/>
      <c r="J2" s="255"/>
      <c r="K2" s="255"/>
    </row>
    <row r="3" spans="2:15" ht="15" customHeight="1" thickBot="1" x14ac:dyDescent="0.5">
      <c r="B3" s="267"/>
      <c r="C3" s="270"/>
      <c r="D3" s="268"/>
      <c r="E3" s="255"/>
      <c r="F3" s="255"/>
      <c r="G3" s="255"/>
      <c r="H3" s="255"/>
      <c r="I3" s="255"/>
      <c r="J3" s="255"/>
      <c r="K3" s="255"/>
      <c r="L3" s="255"/>
      <c r="M3" s="255"/>
      <c r="N3" s="255"/>
      <c r="O3" s="255"/>
    </row>
    <row r="4" spans="2:15" ht="58.5" thickBot="1" x14ac:dyDescent="0.4">
      <c r="B4" s="257"/>
      <c r="C4" s="271" t="s">
        <v>546</v>
      </c>
      <c r="D4" s="272" t="s">
        <v>547</v>
      </c>
      <c r="E4" s="940" t="s">
        <v>251</v>
      </c>
      <c r="F4" s="941"/>
      <c r="G4" s="255"/>
      <c r="H4" s="255"/>
      <c r="I4" s="255"/>
      <c r="J4" s="255"/>
      <c r="K4" s="255"/>
      <c r="L4" s="255"/>
      <c r="M4" s="255"/>
      <c r="N4" s="255"/>
      <c r="O4" s="255"/>
    </row>
    <row r="5" spans="2:15" x14ac:dyDescent="0.35">
      <c r="B5" s="258" t="s">
        <v>252</v>
      </c>
      <c r="C5" s="259">
        <f>'Master Lookup'!C14</f>
        <v>43247.567999999999</v>
      </c>
      <c r="D5" s="259">
        <f>'Master Lookup'!C12</f>
        <v>56217.241600000001</v>
      </c>
      <c r="E5" s="942" t="s">
        <v>253</v>
      </c>
      <c r="F5" s="943"/>
      <c r="G5" s="255"/>
      <c r="H5" s="255"/>
      <c r="I5" s="255"/>
      <c r="J5" s="255"/>
      <c r="K5" s="255"/>
      <c r="L5" s="255"/>
      <c r="M5" s="255"/>
      <c r="N5" s="255"/>
      <c r="O5" s="255"/>
    </row>
    <row r="6" spans="2:15" x14ac:dyDescent="0.35">
      <c r="B6" s="260" t="s">
        <v>77</v>
      </c>
      <c r="C6" s="261">
        <f>'M2023 BLS Chart'!C38</f>
        <v>0.24970000000000001</v>
      </c>
      <c r="D6" s="261">
        <f>C6</f>
        <v>0.24970000000000001</v>
      </c>
      <c r="E6" s="934" t="s">
        <v>254</v>
      </c>
      <c r="F6" s="935"/>
      <c r="G6" s="255"/>
      <c r="H6" s="255"/>
      <c r="I6" s="255"/>
      <c r="J6" s="255"/>
      <c r="K6" s="255"/>
      <c r="L6" s="255"/>
      <c r="M6" s="255"/>
      <c r="N6" s="255"/>
      <c r="O6" s="255"/>
    </row>
    <row r="7" spans="2:15" x14ac:dyDescent="0.35">
      <c r="B7" s="260" t="s">
        <v>255</v>
      </c>
      <c r="C7" s="262">
        <f>C5*C6</f>
        <v>10798.9177296</v>
      </c>
      <c r="D7" s="262">
        <f>D5*D6</f>
        <v>14037.44522752</v>
      </c>
      <c r="E7" s="936"/>
      <c r="F7" s="937"/>
      <c r="G7" s="255"/>
      <c r="H7" s="255"/>
      <c r="I7" s="255"/>
      <c r="J7" s="273"/>
      <c r="K7" s="255"/>
      <c r="L7" s="255"/>
      <c r="M7" s="255"/>
      <c r="N7" s="255"/>
      <c r="O7" s="255"/>
    </row>
    <row r="8" spans="2:15" x14ac:dyDescent="0.35">
      <c r="B8" s="260" t="s">
        <v>26</v>
      </c>
      <c r="C8" s="262">
        <f>(C7+C5)*H8</f>
        <v>1759.1868681659998</v>
      </c>
      <c r="D8" s="262">
        <f>(D7+D5)*H8</f>
        <v>2286.7559439928591</v>
      </c>
      <c r="E8" s="936"/>
      <c r="F8" s="937"/>
      <c r="G8" s="255"/>
      <c r="H8" s="805">
        <f>'Master Lookup'!C22</f>
        <v>3.2549514448865162E-2</v>
      </c>
      <c r="I8" s="255"/>
      <c r="J8" s="255"/>
      <c r="K8" s="255"/>
      <c r="L8" s="255"/>
      <c r="M8" s="255"/>
      <c r="N8" s="255"/>
      <c r="O8" s="255"/>
    </row>
    <row r="9" spans="2:15" s="255" customFormat="1" ht="15" thickBot="1" x14ac:dyDescent="0.4">
      <c r="B9" s="274" t="s">
        <v>256</v>
      </c>
      <c r="C9" s="275">
        <f>C8+C7+C5</f>
        <v>55805.672597765995</v>
      </c>
      <c r="D9" s="275">
        <f>D8+D7+D5</f>
        <v>72541.442771512855</v>
      </c>
      <c r="E9" s="257"/>
      <c r="F9" s="263"/>
      <c r="H9" s="598"/>
    </row>
    <row r="10" spans="2:15" s="255" customFormat="1" ht="15" hidden="1" thickBot="1" x14ac:dyDescent="0.4">
      <c r="B10" s="260" t="s">
        <v>260</v>
      </c>
      <c r="C10" s="276" t="e">
        <f>#REF!</f>
        <v>#REF!</v>
      </c>
      <c r="D10" s="276" t="e">
        <f>#REF!</f>
        <v>#REF!</v>
      </c>
      <c r="E10" s="277"/>
      <c r="F10" s="278"/>
    </row>
    <row r="11" spans="2:15" s="255" customFormat="1" ht="15.5" hidden="1" thickTop="1" thickBot="1" x14ac:dyDescent="0.4">
      <c r="B11" s="264" t="s">
        <v>261</v>
      </c>
      <c r="C11" s="279" t="e">
        <f>C9/C10</f>
        <v>#REF!</v>
      </c>
      <c r="D11" s="279" t="e">
        <f>D9/D10</f>
        <v>#REF!</v>
      </c>
      <c r="E11" s="265"/>
      <c r="F11" s="266"/>
    </row>
    <row r="12" spans="2:15" s="255" customFormat="1" hidden="1" x14ac:dyDescent="0.35">
      <c r="B12" s="280" t="s">
        <v>262</v>
      </c>
      <c r="C12" s="281" t="e">
        <f>(C9+#REF!)/12</f>
        <v>#REF!</v>
      </c>
      <c r="D12" s="281"/>
      <c r="E12" s="254"/>
    </row>
    <row r="13" spans="2:15" s="255" customFormat="1" hidden="1" x14ac:dyDescent="0.35">
      <c r="B13" s="280" t="s">
        <v>263</v>
      </c>
      <c r="C13" s="281" t="e">
        <f>C12*0.75</f>
        <v>#REF!</v>
      </c>
      <c r="D13" s="281"/>
      <c r="E13" s="254"/>
    </row>
    <row r="14" spans="2:15" s="255" customFormat="1" hidden="1" x14ac:dyDescent="0.35">
      <c r="B14" s="280" t="s">
        <v>264</v>
      </c>
      <c r="C14" s="281" t="e">
        <f>C12*0.5</f>
        <v>#REF!</v>
      </c>
      <c r="D14" s="281"/>
      <c r="E14" s="254"/>
    </row>
    <row r="15" spans="2:15" s="255" customFormat="1" hidden="1" x14ac:dyDescent="0.35">
      <c r="B15" s="280" t="s">
        <v>265</v>
      </c>
      <c r="C15" s="281" t="e">
        <f>C12*0.25</f>
        <v>#REF!</v>
      </c>
      <c r="D15" s="281"/>
      <c r="E15" s="254"/>
      <c r="O15" s="255" t="s">
        <v>266</v>
      </c>
    </row>
    <row r="16" spans="2:15" s="255" customFormat="1" hidden="1" x14ac:dyDescent="0.35">
      <c r="C16" s="282">
        <f>20.32*0.25</f>
        <v>5.08</v>
      </c>
      <c r="D16" s="283">
        <f>36.88*0.25</f>
        <v>9.2200000000000006</v>
      </c>
    </row>
    <row r="17" spans="2:15" s="255" customFormat="1" ht="15.5" x14ac:dyDescent="0.35">
      <c r="B17" s="284" t="s">
        <v>267</v>
      </c>
      <c r="C17" s="285">
        <f>C9/12*1</f>
        <v>4650.4727164804999</v>
      </c>
      <c r="D17" s="285">
        <f>D9/12*1</f>
        <v>6045.1202309594046</v>
      </c>
      <c r="E17" s="254"/>
      <c r="G17" s="256"/>
      <c r="H17" s="612"/>
      <c r="I17" s="612"/>
      <c r="J17" s="256"/>
      <c r="K17" s="256"/>
      <c r="L17" s="256"/>
      <c r="M17" s="256"/>
      <c r="N17" s="256"/>
      <c r="O17" s="256"/>
    </row>
    <row r="18" spans="2:15" s="255" customFormat="1" ht="16" hidden="1" thickBot="1" x14ac:dyDescent="0.4">
      <c r="B18" s="287" t="s">
        <v>268</v>
      </c>
      <c r="C18" s="288"/>
      <c r="D18" s="286"/>
      <c r="G18" s="256"/>
      <c r="H18" s="256"/>
      <c r="I18" s="256"/>
      <c r="J18" s="256"/>
      <c r="K18" s="256"/>
      <c r="L18" s="256"/>
      <c r="M18" s="256"/>
      <c r="N18" s="256"/>
      <c r="O18" s="256"/>
    </row>
    <row r="19" spans="2:15" s="255" customFormat="1" ht="15.5" hidden="1" x14ac:dyDescent="0.35">
      <c r="B19" s="289"/>
      <c r="C19" s="290"/>
      <c r="D19" s="291"/>
      <c r="G19" s="256"/>
      <c r="H19" s="256"/>
      <c r="I19" s="256"/>
      <c r="J19" s="256"/>
      <c r="K19" s="256"/>
      <c r="L19" s="256"/>
      <c r="M19" s="256"/>
      <c r="N19" s="256"/>
      <c r="O19" s="256"/>
    </row>
    <row r="20" spans="2:15" s="255" customFormat="1" ht="15.5" hidden="1" x14ac:dyDescent="0.35">
      <c r="B20" s="292"/>
      <c r="C20" s="293" t="s">
        <v>269</v>
      </c>
      <c r="D20" s="294"/>
      <c r="E20" s="296"/>
      <c r="G20" s="256"/>
      <c r="H20" s="256"/>
      <c r="I20" s="256"/>
      <c r="J20" s="256"/>
      <c r="K20" s="256"/>
      <c r="L20" s="256"/>
      <c r="M20" s="256"/>
      <c r="N20" s="256"/>
      <c r="O20" s="256"/>
    </row>
    <row r="21" spans="2:15" s="255" customFormat="1" ht="15.5" hidden="1" x14ac:dyDescent="0.35">
      <c r="B21" s="297"/>
      <c r="C21" s="298" t="s">
        <v>270</v>
      </c>
      <c r="D21" s="299"/>
      <c r="E21" s="296"/>
      <c r="G21" s="256"/>
      <c r="H21" s="256"/>
      <c r="I21" s="256"/>
      <c r="J21" s="256"/>
      <c r="K21" s="256"/>
      <c r="L21" s="256"/>
      <c r="M21" s="256"/>
      <c r="N21" s="256"/>
      <c r="O21" s="256"/>
    </row>
    <row r="22" spans="2:15" s="255" customFormat="1" ht="15.5" hidden="1" x14ac:dyDescent="0.35">
      <c r="B22" s="292"/>
      <c r="C22" s="300"/>
      <c r="D22" s="299"/>
      <c r="G22" s="256"/>
      <c r="H22" s="256"/>
      <c r="I22" s="256"/>
      <c r="J22" s="256"/>
      <c r="K22" s="256"/>
      <c r="L22" s="256"/>
      <c r="M22" s="256"/>
      <c r="N22" s="256"/>
      <c r="O22" s="256"/>
    </row>
    <row r="23" spans="2:15" s="255" customFormat="1" ht="16" hidden="1" thickBot="1" x14ac:dyDescent="0.4">
      <c r="B23" s="301"/>
      <c r="C23" s="302"/>
      <c r="D23" s="299"/>
      <c r="G23" s="256"/>
      <c r="H23" s="256"/>
      <c r="I23" s="256"/>
      <c r="J23" s="256"/>
      <c r="K23" s="256"/>
      <c r="L23" s="256"/>
      <c r="M23" s="256"/>
      <c r="N23" s="256"/>
      <c r="O23" s="256"/>
    </row>
    <row r="24" spans="2:15" s="255" customFormat="1" ht="15.5" hidden="1" x14ac:dyDescent="0.35">
      <c r="B24" s="295"/>
      <c r="C24" s="286"/>
      <c r="D24" s="286"/>
      <c r="E24" s="254"/>
      <c r="G24" s="256"/>
      <c r="H24" s="256"/>
      <c r="I24" s="256"/>
      <c r="J24" s="256"/>
      <c r="K24" s="256"/>
      <c r="L24" s="256"/>
      <c r="M24" s="256"/>
      <c r="N24" s="256"/>
      <c r="O24" s="256"/>
    </row>
    <row r="25" spans="2:15" s="255" customFormat="1" ht="15.5" hidden="1" x14ac:dyDescent="0.35">
      <c r="B25" s="295"/>
      <c r="C25" s="286"/>
      <c r="D25" s="286"/>
      <c r="E25" s="254"/>
      <c r="G25" s="256"/>
      <c r="H25" s="256"/>
      <c r="I25" s="256"/>
      <c r="J25" s="256"/>
      <c r="K25" s="256"/>
      <c r="L25" s="256"/>
      <c r="M25" s="256"/>
      <c r="N25" s="256"/>
      <c r="O25" s="256"/>
    </row>
    <row r="26" spans="2:15" s="255" customFormat="1" ht="15.5" hidden="1" x14ac:dyDescent="0.35">
      <c r="B26" s="938" t="s">
        <v>271</v>
      </c>
      <c r="C26" s="938"/>
      <c r="D26" s="938"/>
      <c r="E26" s="254"/>
      <c r="G26" s="256"/>
      <c r="H26" s="256"/>
      <c r="I26" s="256"/>
      <c r="J26" s="256"/>
      <c r="K26" s="256"/>
      <c r="L26" s="256"/>
      <c r="M26" s="256"/>
      <c r="N26" s="256"/>
      <c r="O26" s="256"/>
    </row>
    <row r="27" spans="2:15" s="255" customFormat="1" ht="15.5" hidden="1" x14ac:dyDescent="0.35">
      <c r="B27" s="295"/>
      <c r="C27" s="286"/>
      <c r="D27" s="286"/>
      <c r="E27" s="254"/>
      <c r="G27" s="256"/>
      <c r="H27" s="256"/>
      <c r="I27" s="256"/>
      <c r="J27" s="256"/>
      <c r="K27" s="256"/>
      <c r="L27" s="256"/>
      <c r="M27" s="256"/>
      <c r="N27" s="256"/>
      <c r="O27" s="256"/>
    </row>
    <row r="28" spans="2:15" s="255" customFormat="1" ht="15.5" hidden="1" x14ac:dyDescent="0.35">
      <c r="B28" s="295"/>
      <c r="C28" s="286"/>
      <c r="D28" s="286"/>
      <c r="E28" s="254"/>
      <c r="G28" s="256"/>
      <c r="H28" s="256"/>
      <c r="I28" s="256"/>
      <c r="J28" s="256"/>
      <c r="K28" s="256"/>
      <c r="L28" s="256"/>
      <c r="M28" s="256"/>
      <c r="N28" s="256"/>
      <c r="O28" s="256"/>
    </row>
    <row r="29" spans="2:15" s="255" customFormat="1" ht="15.5" hidden="1" x14ac:dyDescent="0.35">
      <c r="B29" s="295"/>
      <c r="C29" s="286"/>
      <c r="D29" s="286"/>
      <c r="E29" s="254"/>
      <c r="G29" s="256"/>
      <c r="H29" s="256"/>
      <c r="I29" s="256"/>
      <c r="J29" s="256"/>
      <c r="K29" s="256"/>
      <c r="L29" s="256"/>
      <c r="M29" s="256"/>
      <c r="N29" s="256"/>
      <c r="O29" s="256"/>
    </row>
    <row r="30" spans="2:15" s="255" customFormat="1" ht="15.5" hidden="1" x14ac:dyDescent="0.35">
      <c r="B30" s="295"/>
      <c r="C30" s="286"/>
      <c r="D30" s="608"/>
      <c r="E30" s="254"/>
      <c r="G30" s="256"/>
      <c r="H30" s="256"/>
      <c r="I30" s="256"/>
      <c r="J30" s="256"/>
      <c r="K30" s="256"/>
      <c r="L30" s="256"/>
      <c r="M30" s="256"/>
      <c r="N30" s="256"/>
      <c r="O30" s="256"/>
    </row>
    <row r="31" spans="2:15" s="255" customFormat="1" ht="16" hidden="1" thickBot="1" x14ac:dyDescent="0.4">
      <c r="B31" s="295"/>
      <c r="C31" s="286"/>
      <c r="D31" s="286"/>
      <c r="E31" s="254"/>
      <c r="G31" s="256"/>
      <c r="H31" s="256"/>
      <c r="I31" s="256"/>
      <c r="J31" s="256"/>
      <c r="K31" s="256"/>
      <c r="L31" s="256"/>
      <c r="M31" s="256"/>
      <c r="N31" s="256"/>
      <c r="O31" s="256"/>
    </row>
    <row r="32" spans="2:15" s="255" customFormat="1" ht="16" hidden="1" thickBot="1" x14ac:dyDescent="0.4">
      <c r="B32" s="295"/>
      <c r="C32" s="286"/>
      <c r="D32" s="607"/>
      <c r="E32" s="254"/>
      <c r="G32" s="256"/>
      <c r="H32" s="256"/>
      <c r="I32" s="256"/>
      <c r="J32" s="256"/>
      <c r="K32" s="256"/>
      <c r="L32" s="256"/>
      <c r="M32" s="256"/>
      <c r="N32" s="256"/>
      <c r="O32" s="256"/>
    </row>
    <row r="33" spans="2:15" s="254" customFormat="1" ht="16" hidden="1" thickBot="1" x14ac:dyDescent="0.4">
      <c r="B33" s="303"/>
      <c r="C33" s="303"/>
      <c r="D33" s="304" t="s">
        <v>272</v>
      </c>
      <c r="E33" s="256"/>
      <c r="F33" s="256"/>
      <c r="G33" s="256"/>
      <c r="H33" s="256"/>
      <c r="I33" s="256"/>
      <c r="J33" s="256"/>
      <c r="K33" s="256"/>
      <c r="L33" s="256"/>
      <c r="M33" s="256"/>
      <c r="N33" s="256"/>
      <c r="O33" s="256"/>
    </row>
    <row r="34" spans="2:15" s="254" customFormat="1" ht="15.5" hidden="1" x14ac:dyDescent="0.35">
      <c r="B34" s="303"/>
      <c r="C34" s="303"/>
      <c r="D34" s="305">
        <v>1653</v>
      </c>
      <c r="E34" s="256"/>
      <c r="F34" s="256"/>
      <c r="G34" s="256"/>
      <c r="H34" s="256"/>
      <c r="I34" s="256"/>
      <c r="J34" s="256"/>
      <c r="K34" s="256"/>
      <c r="L34" s="256"/>
      <c r="M34" s="256"/>
      <c r="N34" s="256"/>
      <c r="O34" s="256"/>
    </row>
    <row r="35" spans="2:15" s="254" customFormat="1" ht="15.5" hidden="1" x14ac:dyDescent="0.35">
      <c r="B35" s="303"/>
      <c r="C35" s="303"/>
      <c r="D35" s="306">
        <v>1658</v>
      </c>
      <c r="E35" s="256"/>
      <c r="F35" s="256"/>
      <c r="G35" s="256"/>
      <c r="H35" s="256"/>
      <c r="I35" s="256"/>
      <c r="J35" s="256"/>
      <c r="K35" s="256"/>
      <c r="L35" s="256"/>
      <c r="M35" s="256"/>
      <c r="N35" s="256"/>
      <c r="O35" s="256"/>
    </row>
    <row r="36" spans="2:15" s="254" customFormat="1" ht="15.5" hidden="1" x14ac:dyDescent="0.35">
      <c r="B36" s="303"/>
      <c r="C36" s="303"/>
      <c r="D36" s="306">
        <v>2131</v>
      </c>
      <c r="E36" s="256"/>
      <c r="F36" s="256"/>
      <c r="G36" s="256"/>
      <c r="H36" s="256"/>
      <c r="I36" s="256"/>
      <c r="J36" s="256"/>
      <c r="K36" s="256"/>
      <c r="L36" s="256"/>
      <c r="M36" s="256"/>
      <c r="N36" s="256"/>
      <c r="O36" s="256"/>
    </row>
    <row r="37" spans="2:15" s="254" customFormat="1" ht="15.5" hidden="1" x14ac:dyDescent="0.35">
      <c r="B37" s="303"/>
      <c r="C37" s="303"/>
      <c r="D37" s="306">
        <v>4034</v>
      </c>
      <c r="E37" s="256"/>
      <c r="F37" s="256"/>
      <c r="G37" s="256"/>
      <c r="H37" s="256"/>
      <c r="I37" s="256"/>
      <c r="J37" s="256"/>
      <c r="K37" s="256"/>
      <c r="L37" s="256"/>
      <c r="M37" s="256"/>
      <c r="N37" s="256"/>
      <c r="O37" s="256"/>
    </row>
    <row r="38" spans="2:15" s="254" customFormat="1" ht="15.5" hidden="1" x14ac:dyDescent="0.35">
      <c r="B38" s="303"/>
      <c r="C38" s="303"/>
      <c r="D38" s="306">
        <v>2703</v>
      </c>
      <c r="E38" s="256"/>
      <c r="F38" s="256"/>
      <c r="G38" s="256"/>
      <c r="H38" s="256"/>
      <c r="I38" s="256"/>
      <c r="J38" s="256"/>
      <c r="K38" s="256"/>
      <c r="L38" s="256"/>
      <c r="M38" s="256"/>
      <c r="N38" s="256"/>
      <c r="O38" s="256"/>
    </row>
    <row r="39" spans="2:15" s="254" customFormat="1" ht="15.5" hidden="1" x14ac:dyDescent="0.35">
      <c r="B39" s="303"/>
      <c r="C39" s="303"/>
      <c r="D39" s="306">
        <v>2948</v>
      </c>
      <c r="E39" s="256"/>
      <c r="F39" s="256"/>
      <c r="G39" s="256"/>
      <c r="H39" s="256"/>
      <c r="I39" s="256"/>
      <c r="J39" s="256"/>
      <c r="K39" s="256"/>
      <c r="L39" s="256"/>
      <c r="M39" s="256"/>
      <c r="N39" s="256"/>
      <c r="O39" s="256"/>
    </row>
    <row r="40" spans="2:15" s="254" customFormat="1" ht="15.5" hidden="1" x14ac:dyDescent="0.35">
      <c r="B40" s="303"/>
      <c r="C40" s="303"/>
      <c r="D40" s="306">
        <v>4458</v>
      </c>
      <c r="E40" s="256"/>
      <c r="F40" s="256"/>
      <c r="G40" s="256"/>
      <c r="H40" s="256"/>
      <c r="I40" s="256"/>
      <c r="J40" s="256"/>
      <c r="K40" s="256"/>
      <c r="L40" s="256"/>
      <c r="M40" s="256"/>
      <c r="N40" s="256"/>
      <c r="O40" s="256"/>
    </row>
    <row r="41" spans="2:15" s="254" customFormat="1" ht="15.5" hidden="1" x14ac:dyDescent="0.35">
      <c r="B41" s="303"/>
      <c r="C41" s="303"/>
      <c r="D41" s="306">
        <v>3127</v>
      </c>
      <c r="E41" s="256"/>
      <c r="F41" s="256"/>
      <c r="G41" s="256"/>
      <c r="H41" s="256"/>
      <c r="I41" s="256"/>
      <c r="J41" s="256"/>
      <c r="K41" s="256"/>
      <c r="L41" s="256"/>
      <c r="M41" s="256"/>
      <c r="N41" s="256"/>
      <c r="O41" s="256"/>
    </row>
    <row r="42" spans="2:15" s="254" customFormat="1" ht="15.5" hidden="1" x14ac:dyDescent="0.35">
      <c r="B42" s="303"/>
      <c r="C42" s="303"/>
      <c r="D42" s="306">
        <v>2257</v>
      </c>
      <c r="E42" s="256"/>
      <c r="F42" s="256"/>
      <c r="G42" s="256"/>
      <c r="H42" s="256"/>
      <c r="I42" s="256"/>
      <c r="J42" s="256"/>
      <c r="K42" s="256"/>
      <c r="L42" s="256"/>
      <c r="M42" s="256"/>
      <c r="N42" s="256"/>
      <c r="O42" s="256"/>
    </row>
    <row r="43" spans="2:15" s="254" customFormat="1" ht="15.5" hidden="1" x14ac:dyDescent="0.35">
      <c r="B43" s="303"/>
      <c r="C43" s="303"/>
      <c r="D43" s="307" t="s">
        <v>273</v>
      </c>
      <c r="E43" s="256"/>
      <c r="F43" s="256"/>
      <c r="G43" s="256"/>
      <c r="H43" s="256"/>
      <c r="I43" s="256"/>
      <c r="J43" s="256"/>
      <c r="K43" s="256"/>
      <c r="L43" s="256"/>
      <c r="M43" s="256"/>
      <c r="N43" s="256"/>
      <c r="O43" s="256"/>
    </row>
    <row r="44" spans="2:15" s="254" customFormat="1" ht="15.5" hidden="1" x14ac:dyDescent="0.35">
      <c r="B44" s="303"/>
      <c r="C44" s="303"/>
      <c r="D44" s="307" t="s">
        <v>273</v>
      </c>
      <c r="E44" s="256"/>
      <c r="F44" s="256"/>
      <c r="G44" s="256"/>
      <c r="H44" s="256"/>
      <c r="I44" s="256"/>
      <c r="J44" s="256"/>
      <c r="K44" s="256"/>
      <c r="L44" s="256"/>
      <c r="M44" s="256"/>
      <c r="N44" s="256"/>
      <c r="O44" s="256"/>
    </row>
    <row r="45" spans="2:15" s="254" customFormat="1" ht="15.5" hidden="1" x14ac:dyDescent="0.35">
      <c r="B45" s="303"/>
      <c r="C45" s="303"/>
      <c r="D45" s="286"/>
      <c r="E45" s="256"/>
      <c r="F45" s="256"/>
      <c r="G45" s="256"/>
      <c r="H45" s="256"/>
      <c r="I45" s="256"/>
      <c r="J45" s="256"/>
      <c r="K45" s="256"/>
      <c r="L45" s="256"/>
      <c r="M45" s="256"/>
      <c r="N45" s="256"/>
      <c r="O45" s="256"/>
    </row>
    <row r="46" spans="2:15" s="254" customFormat="1" ht="15.5" hidden="1" x14ac:dyDescent="0.35">
      <c r="B46" s="303"/>
      <c r="C46" s="303"/>
      <c r="D46" s="286"/>
      <c r="E46" s="256"/>
      <c r="F46" s="256"/>
      <c r="G46" s="256"/>
      <c r="H46" s="256"/>
      <c r="I46" s="256"/>
      <c r="J46" s="256"/>
      <c r="K46" s="256"/>
      <c r="L46" s="256"/>
      <c r="M46" s="256"/>
      <c r="N46" s="256"/>
      <c r="O46" s="256"/>
    </row>
    <row r="47" spans="2:15" s="254" customFormat="1" ht="15.5" hidden="1" x14ac:dyDescent="0.35">
      <c r="B47" s="303"/>
      <c r="C47" s="303"/>
      <c r="D47" s="286"/>
      <c r="E47" s="256"/>
      <c r="F47" s="256"/>
      <c r="G47" s="256"/>
      <c r="H47" s="256"/>
      <c r="I47" s="256"/>
      <c r="J47" s="256"/>
      <c r="K47" s="256"/>
      <c r="L47" s="256"/>
      <c r="M47" s="256"/>
      <c r="N47" s="256"/>
      <c r="O47" s="256"/>
    </row>
    <row r="48" spans="2:15" s="254" customFormat="1" ht="15.5" hidden="1" x14ac:dyDescent="0.35">
      <c r="B48" s="303"/>
      <c r="C48" s="303"/>
      <c r="D48" s="286"/>
      <c r="E48" s="256"/>
      <c r="F48" s="256"/>
      <c r="G48" s="256"/>
      <c r="H48" s="256"/>
      <c r="I48" s="256"/>
      <c r="J48" s="256"/>
      <c r="K48" s="256"/>
      <c r="L48" s="256"/>
      <c r="M48" s="256"/>
      <c r="N48" s="256"/>
      <c r="O48" s="256"/>
    </row>
    <row r="49" spans="2:15" s="255" customFormat="1" ht="15.5" hidden="1" x14ac:dyDescent="0.35">
      <c r="B49" s="303"/>
      <c r="C49" s="303"/>
      <c r="D49" s="303"/>
      <c r="E49" s="256"/>
      <c r="F49" s="256"/>
      <c r="G49" s="256"/>
      <c r="H49" s="256"/>
      <c r="I49" s="256"/>
      <c r="J49" s="256"/>
      <c r="K49" s="256"/>
      <c r="L49" s="256"/>
      <c r="M49" s="256"/>
      <c r="N49" s="256"/>
      <c r="O49" s="256"/>
    </row>
    <row r="50" spans="2:15" s="255" customFormat="1" ht="15.5" x14ac:dyDescent="0.35">
      <c r="B50" s="308" t="s">
        <v>274</v>
      </c>
      <c r="C50" s="309">
        <f>C9/12*0.5</f>
        <v>2325.23635824025</v>
      </c>
      <c r="D50" s="309">
        <f>D9/12*0.5</f>
        <v>3022.5601154797023</v>
      </c>
      <c r="E50" s="256"/>
      <c r="F50" s="256"/>
      <c r="G50" s="256"/>
      <c r="H50" s="256"/>
      <c r="I50" s="256"/>
      <c r="J50" s="256"/>
      <c r="K50" s="256"/>
      <c r="L50" s="256"/>
      <c r="M50" s="256"/>
      <c r="N50" s="256"/>
      <c r="O50" s="256"/>
    </row>
    <row r="53" spans="2:15" x14ac:dyDescent="0.35">
      <c r="B53" t="s">
        <v>396</v>
      </c>
      <c r="D53" s="364">
        <v>44927</v>
      </c>
    </row>
    <row r="54" spans="2:15" x14ac:dyDescent="0.35">
      <c r="B54" s="939" t="s">
        <v>257</v>
      </c>
      <c r="C54" s="939"/>
      <c r="D54" s="939"/>
      <c r="E54" s="269"/>
      <c r="F54" s="269"/>
      <c r="G54" s="269"/>
      <c r="H54" s="255"/>
      <c r="I54" s="255"/>
      <c r="J54" s="255"/>
      <c r="K54" s="255"/>
    </row>
    <row r="55" spans="2:15" ht="15" customHeight="1" thickBot="1" x14ac:dyDescent="0.5">
      <c r="B55" s="267"/>
      <c r="C55" s="270"/>
      <c r="D55" s="268"/>
      <c r="E55" s="255"/>
      <c r="F55" s="255"/>
      <c r="G55" s="255"/>
      <c r="H55" s="255"/>
      <c r="I55" s="255"/>
      <c r="J55" s="255"/>
      <c r="K55" s="255"/>
      <c r="L55" s="255"/>
      <c r="M55" s="255"/>
      <c r="N55" s="255"/>
      <c r="O55" s="255"/>
    </row>
    <row r="56" spans="2:15" ht="58.5" thickBot="1" x14ac:dyDescent="0.4">
      <c r="B56" s="257"/>
      <c r="C56" s="271" t="s">
        <v>258</v>
      </c>
      <c r="D56" s="272" t="s">
        <v>259</v>
      </c>
      <c r="E56" s="940" t="s">
        <v>251</v>
      </c>
      <c r="F56" s="941"/>
      <c r="G56" s="255"/>
      <c r="H56" s="255"/>
      <c r="I56" s="255"/>
      <c r="J56" s="255"/>
      <c r="K56" s="255"/>
      <c r="L56" s="255"/>
      <c r="M56" s="255"/>
      <c r="N56" s="255"/>
      <c r="O56" s="255"/>
    </row>
    <row r="57" spans="2:15" x14ac:dyDescent="0.35">
      <c r="B57" s="258" t="s">
        <v>252</v>
      </c>
      <c r="C57" s="259">
        <v>38938</v>
      </c>
      <c r="D57" s="259">
        <v>48705</v>
      </c>
      <c r="E57" s="942" t="s">
        <v>253</v>
      </c>
      <c r="F57" s="943"/>
      <c r="G57" s="255"/>
      <c r="H57" s="255"/>
      <c r="I57" s="255"/>
      <c r="J57" s="255"/>
      <c r="K57" s="255"/>
      <c r="L57" s="255"/>
      <c r="M57" s="255"/>
      <c r="N57" s="255"/>
      <c r="O57" s="255"/>
    </row>
    <row r="58" spans="2:15" x14ac:dyDescent="0.35">
      <c r="B58" s="260" t="s">
        <v>77</v>
      </c>
      <c r="C58" s="261">
        <v>0.2422</v>
      </c>
      <c r="D58" s="261">
        <f>C58</f>
        <v>0.2422</v>
      </c>
      <c r="E58" s="934" t="s">
        <v>254</v>
      </c>
      <c r="F58" s="935"/>
      <c r="G58" s="255"/>
      <c r="H58" s="255"/>
      <c r="I58" s="255"/>
      <c r="J58" s="255"/>
      <c r="K58" s="255"/>
      <c r="L58" s="255"/>
      <c r="M58" s="255"/>
      <c r="N58" s="255"/>
      <c r="O58" s="255"/>
    </row>
    <row r="59" spans="2:15" x14ac:dyDescent="0.35">
      <c r="B59" s="260" t="s">
        <v>255</v>
      </c>
      <c r="C59" s="262">
        <v>9431</v>
      </c>
      <c r="D59" s="262">
        <f t="shared" ref="D59" si="0">D57*D58</f>
        <v>11796.351000000001</v>
      </c>
      <c r="E59" s="936"/>
      <c r="F59" s="937"/>
      <c r="G59" s="255"/>
      <c r="H59" s="255"/>
      <c r="I59" s="255"/>
      <c r="J59" s="273"/>
      <c r="K59" s="255"/>
      <c r="L59" s="255"/>
      <c r="M59" s="255"/>
      <c r="N59" s="255"/>
      <c r="O59" s="255"/>
    </row>
    <row r="60" spans="2:15" x14ac:dyDescent="0.35">
      <c r="B60" s="260" t="s">
        <v>26</v>
      </c>
      <c r="C60" s="262">
        <f>(C59+C57)*H8</f>
        <v>1574.3874643771589</v>
      </c>
      <c r="D60" s="262">
        <f>(D59+D57)*H8</f>
        <v>1969.2895985503628</v>
      </c>
      <c r="E60" s="936"/>
      <c r="F60" s="937"/>
      <c r="G60" s="255"/>
      <c r="H60" s="599"/>
      <c r="I60" s="255"/>
      <c r="J60" s="255"/>
      <c r="K60" s="255"/>
      <c r="L60" s="255"/>
      <c r="M60" s="255"/>
      <c r="N60" s="255"/>
      <c r="O60" s="255"/>
    </row>
    <row r="61" spans="2:15" s="255" customFormat="1" ht="15" thickBot="1" x14ac:dyDescent="0.4">
      <c r="B61" s="274" t="s">
        <v>256</v>
      </c>
      <c r="C61" s="275">
        <f t="shared" ref="C61:D61" si="1">C60+C59+C57</f>
        <v>49943.387464377156</v>
      </c>
      <c r="D61" s="275">
        <f t="shared" si="1"/>
        <v>62470.640598550366</v>
      </c>
      <c r="E61" s="257"/>
      <c r="F61" s="263"/>
    </row>
    <row r="62" spans="2:15" s="255" customFormat="1" ht="15" hidden="1" thickBot="1" x14ac:dyDescent="0.4">
      <c r="B62" s="260" t="s">
        <v>260</v>
      </c>
      <c r="C62" s="276" t="e">
        <f>#REF!</f>
        <v>#REF!</v>
      </c>
      <c r="D62" s="276" t="e">
        <f>#REF!</f>
        <v>#REF!</v>
      </c>
      <c r="E62" s="277"/>
      <c r="F62" s="278"/>
    </row>
    <row r="63" spans="2:15" s="255" customFormat="1" ht="15.5" hidden="1" thickTop="1" thickBot="1" x14ac:dyDescent="0.4">
      <c r="B63" s="264" t="s">
        <v>261</v>
      </c>
      <c r="C63" s="279" t="e">
        <f>C61/C62</f>
        <v>#REF!</v>
      </c>
      <c r="D63" s="279" t="e">
        <f>D61/D62</f>
        <v>#REF!</v>
      </c>
      <c r="E63" s="265"/>
      <c r="F63" s="266"/>
    </row>
    <row r="64" spans="2:15" s="255" customFormat="1" hidden="1" x14ac:dyDescent="0.35">
      <c r="B64" s="280" t="s">
        <v>262</v>
      </c>
      <c r="C64" s="281" t="e">
        <f>(C61+#REF!)/12</f>
        <v>#REF!</v>
      </c>
      <c r="D64" s="281"/>
      <c r="E64" s="254"/>
    </row>
    <row r="65" spans="2:15" s="255" customFormat="1" hidden="1" x14ac:dyDescent="0.35">
      <c r="B65" s="280" t="s">
        <v>263</v>
      </c>
      <c r="C65" s="281" t="e">
        <f>C64*0.75</f>
        <v>#REF!</v>
      </c>
      <c r="D65" s="281"/>
      <c r="E65" s="254"/>
    </row>
    <row r="66" spans="2:15" s="255" customFormat="1" hidden="1" x14ac:dyDescent="0.35">
      <c r="B66" s="280" t="s">
        <v>264</v>
      </c>
      <c r="C66" s="281" t="e">
        <f>C64*0.5</f>
        <v>#REF!</v>
      </c>
      <c r="D66" s="281"/>
      <c r="E66" s="254"/>
    </row>
    <row r="67" spans="2:15" s="255" customFormat="1" hidden="1" x14ac:dyDescent="0.35">
      <c r="B67" s="280" t="s">
        <v>265</v>
      </c>
      <c r="C67" s="281" t="e">
        <f>C64*0.25</f>
        <v>#REF!</v>
      </c>
      <c r="D67" s="281"/>
      <c r="E67" s="254"/>
      <c r="O67" s="255" t="s">
        <v>266</v>
      </c>
    </row>
    <row r="68" spans="2:15" s="255" customFormat="1" hidden="1" x14ac:dyDescent="0.35">
      <c r="C68" s="282">
        <f>20.32*0.25</f>
        <v>5.08</v>
      </c>
      <c r="D68" s="283">
        <f>36.88*0.25</f>
        <v>9.2200000000000006</v>
      </c>
    </row>
    <row r="69" spans="2:15" s="255" customFormat="1" ht="15.5" x14ac:dyDescent="0.35">
      <c r="B69" s="284" t="s">
        <v>267</v>
      </c>
      <c r="C69" s="285">
        <f>C61/12*1</f>
        <v>4161.9489553647627</v>
      </c>
      <c r="D69" s="285">
        <f>D61/12*1</f>
        <v>5205.8867165458641</v>
      </c>
      <c r="E69" s="254"/>
      <c r="G69" s="256"/>
      <c r="H69" s="256"/>
      <c r="I69" s="256"/>
      <c r="J69" s="256"/>
      <c r="K69" s="256"/>
      <c r="L69" s="256"/>
      <c r="M69" s="256"/>
      <c r="N69" s="256"/>
      <c r="O69" s="256"/>
    </row>
    <row r="70" spans="2:15" s="255" customFormat="1" ht="16" hidden="1" thickBot="1" x14ac:dyDescent="0.4">
      <c r="B70" s="287" t="s">
        <v>268</v>
      </c>
      <c r="C70" s="288"/>
      <c r="D70" s="286"/>
      <c r="G70" s="256"/>
      <c r="H70" s="256"/>
      <c r="I70" s="256"/>
      <c r="J70" s="256"/>
      <c r="K70" s="256"/>
      <c r="L70" s="256"/>
      <c r="M70" s="256"/>
      <c r="N70" s="256"/>
      <c r="O70" s="256"/>
    </row>
    <row r="71" spans="2:15" s="255" customFormat="1" ht="15.5" hidden="1" x14ac:dyDescent="0.35">
      <c r="B71" s="289"/>
      <c r="C71" s="290"/>
      <c r="D71" s="291"/>
      <c r="G71" s="256"/>
      <c r="H71" s="256"/>
      <c r="I71" s="256"/>
      <c r="J71" s="256"/>
      <c r="K71" s="256"/>
      <c r="L71" s="256"/>
      <c r="M71" s="256"/>
      <c r="N71" s="256"/>
      <c r="O71" s="256"/>
    </row>
    <row r="72" spans="2:15" s="255" customFormat="1" ht="15.5" hidden="1" x14ac:dyDescent="0.35">
      <c r="B72" s="292"/>
      <c r="C72" s="293" t="s">
        <v>269</v>
      </c>
      <c r="D72" s="294"/>
      <c r="E72" s="296"/>
      <c r="G72" s="256"/>
      <c r="H72" s="256"/>
      <c r="I72" s="256"/>
      <c r="J72" s="256"/>
      <c r="K72" s="256"/>
      <c r="L72" s="256"/>
      <c r="M72" s="256"/>
      <c r="N72" s="256"/>
      <c r="O72" s="256"/>
    </row>
    <row r="73" spans="2:15" s="255" customFormat="1" ht="15.5" hidden="1" x14ac:dyDescent="0.35">
      <c r="B73" s="297"/>
      <c r="C73" s="298" t="s">
        <v>270</v>
      </c>
      <c r="D73" s="299"/>
      <c r="E73" s="296"/>
      <c r="G73" s="256"/>
      <c r="H73" s="256"/>
      <c r="I73" s="256"/>
      <c r="J73" s="256"/>
      <c r="K73" s="256"/>
      <c r="L73" s="256"/>
      <c r="M73" s="256"/>
      <c r="N73" s="256"/>
      <c r="O73" s="256"/>
    </row>
    <row r="74" spans="2:15" s="255" customFormat="1" ht="15.5" hidden="1" x14ac:dyDescent="0.35">
      <c r="B74" s="292"/>
      <c r="C74" s="300"/>
      <c r="D74" s="299"/>
      <c r="G74" s="256"/>
      <c r="H74" s="256"/>
      <c r="I74" s="256"/>
      <c r="J74" s="256"/>
      <c r="K74" s="256"/>
      <c r="L74" s="256"/>
      <c r="M74" s="256"/>
      <c r="N74" s="256"/>
      <c r="O74" s="256"/>
    </row>
    <row r="75" spans="2:15" s="255" customFormat="1" ht="16" hidden="1" thickBot="1" x14ac:dyDescent="0.4">
      <c r="B75" s="301"/>
      <c r="C75" s="302"/>
      <c r="D75" s="299"/>
      <c r="G75" s="256"/>
      <c r="H75" s="256"/>
      <c r="I75" s="256"/>
      <c r="J75" s="256"/>
      <c r="K75" s="256"/>
      <c r="L75" s="256"/>
      <c r="M75" s="256"/>
      <c r="N75" s="256"/>
      <c r="O75" s="256"/>
    </row>
    <row r="76" spans="2:15" s="255" customFormat="1" ht="15.5" hidden="1" x14ac:dyDescent="0.35">
      <c r="B76" s="295"/>
      <c r="C76" s="286"/>
      <c r="D76" s="286"/>
      <c r="E76" s="254"/>
      <c r="G76" s="256"/>
      <c r="H76" s="256"/>
      <c r="I76" s="256"/>
      <c r="J76" s="256"/>
      <c r="K76" s="256"/>
      <c r="L76" s="256"/>
      <c r="M76" s="256"/>
      <c r="N76" s="256"/>
      <c r="O76" s="256"/>
    </row>
    <row r="77" spans="2:15" s="255" customFormat="1" ht="15.5" hidden="1" x14ac:dyDescent="0.35">
      <c r="B77" s="295"/>
      <c r="C77" s="286"/>
      <c r="D77" s="286"/>
      <c r="E77" s="254"/>
      <c r="G77" s="256"/>
      <c r="H77" s="256"/>
      <c r="I77" s="256"/>
      <c r="J77" s="256"/>
      <c r="K77" s="256"/>
      <c r="L77" s="256"/>
      <c r="M77" s="256"/>
      <c r="N77" s="256"/>
      <c r="O77" s="256"/>
    </row>
    <row r="78" spans="2:15" s="255" customFormat="1" ht="15.5" hidden="1" x14ac:dyDescent="0.35">
      <c r="B78" s="938" t="s">
        <v>271</v>
      </c>
      <c r="C78" s="938"/>
      <c r="D78" s="938"/>
      <c r="E78" s="254"/>
      <c r="G78" s="256"/>
      <c r="H78" s="256"/>
      <c r="I78" s="256"/>
      <c r="J78" s="256"/>
      <c r="K78" s="256"/>
      <c r="L78" s="256"/>
      <c r="M78" s="256"/>
      <c r="N78" s="256"/>
      <c r="O78" s="256"/>
    </row>
    <row r="79" spans="2:15" s="255" customFormat="1" ht="15.5" hidden="1" x14ac:dyDescent="0.35">
      <c r="B79" s="295"/>
      <c r="C79" s="286"/>
      <c r="D79" s="286"/>
      <c r="E79" s="254"/>
      <c r="G79" s="256"/>
      <c r="H79" s="256"/>
      <c r="I79" s="256"/>
      <c r="J79" s="256"/>
      <c r="K79" s="256"/>
      <c r="L79" s="256"/>
      <c r="M79" s="256"/>
      <c r="N79" s="256"/>
      <c r="O79" s="256"/>
    </row>
    <row r="80" spans="2:15" s="255" customFormat="1" ht="15.5" hidden="1" x14ac:dyDescent="0.35">
      <c r="B80" s="295"/>
      <c r="C80" s="286"/>
      <c r="D80" s="286"/>
      <c r="E80" s="254"/>
      <c r="G80" s="256"/>
      <c r="H80" s="256"/>
      <c r="I80" s="256"/>
      <c r="J80" s="256"/>
      <c r="K80" s="256"/>
      <c r="L80" s="256"/>
      <c r="M80" s="256"/>
      <c r="N80" s="256"/>
      <c r="O80" s="256"/>
    </row>
    <row r="81" spans="2:15" s="255" customFormat="1" ht="15.5" hidden="1" x14ac:dyDescent="0.35">
      <c r="B81" s="295"/>
      <c r="C81" s="286"/>
      <c r="D81" s="286"/>
      <c r="E81" s="254"/>
      <c r="G81" s="256"/>
      <c r="H81" s="256"/>
      <c r="I81" s="256"/>
      <c r="J81" s="256"/>
      <c r="K81" s="256"/>
      <c r="L81" s="256"/>
      <c r="M81" s="256"/>
      <c r="N81" s="256"/>
      <c r="O81" s="256"/>
    </row>
    <row r="82" spans="2:15" s="255" customFormat="1" ht="15.5" hidden="1" x14ac:dyDescent="0.35">
      <c r="B82" s="295"/>
      <c r="C82" s="286"/>
      <c r="D82" s="608"/>
      <c r="E82" s="254"/>
      <c r="G82" s="256"/>
      <c r="H82" s="256"/>
      <c r="I82" s="256"/>
      <c r="J82" s="256"/>
      <c r="K82" s="256"/>
      <c r="L82" s="256"/>
      <c r="M82" s="256"/>
      <c r="N82" s="256"/>
      <c r="O82" s="256"/>
    </row>
    <row r="83" spans="2:15" s="255" customFormat="1" ht="16" hidden="1" thickBot="1" x14ac:dyDescent="0.4">
      <c r="B83" s="295"/>
      <c r="C83" s="286"/>
      <c r="D83" s="286"/>
      <c r="E83" s="254"/>
      <c r="G83" s="256"/>
      <c r="H83" s="256"/>
      <c r="I83" s="256"/>
      <c r="J83" s="256"/>
      <c r="K83" s="256"/>
      <c r="L83" s="256"/>
      <c r="M83" s="256"/>
      <c r="N83" s="256"/>
      <c r="O83" s="256"/>
    </row>
    <row r="84" spans="2:15" s="255" customFormat="1" ht="16" hidden="1" thickBot="1" x14ac:dyDescent="0.4">
      <c r="B84" s="295"/>
      <c r="C84" s="286"/>
      <c r="D84" s="607"/>
      <c r="E84" s="254"/>
      <c r="G84" s="256"/>
      <c r="H84" s="256"/>
      <c r="I84" s="256"/>
      <c r="J84" s="256"/>
      <c r="K84" s="256"/>
      <c r="L84" s="256"/>
      <c r="M84" s="256"/>
      <c r="N84" s="256"/>
      <c r="O84" s="256"/>
    </row>
    <row r="85" spans="2:15" s="254" customFormat="1" ht="16" hidden="1" thickBot="1" x14ac:dyDescent="0.4">
      <c r="B85" s="303"/>
      <c r="C85" s="303"/>
      <c r="D85" s="304" t="s">
        <v>272</v>
      </c>
      <c r="E85" s="256"/>
      <c r="F85" s="256"/>
      <c r="G85" s="256"/>
      <c r="H85" s="256"/>
      <c r="I85" s="256"/>
      <c r="J85" s="256"/>
      <c r="K85" s="256"/>
      <c r="L85" s="256"/>
      <c r="M85" s="256"/>
      <c r="N85" s="256"/>
      <c r="O85" s="256"/>
    </row>
    <row r="86" spans="2:15" s="254" customFormat="1" ht="15.5" hidden="1" x14ac:dyDescent="0.35">
      <c r="B86" s="303"/>
      <c r="C86" s="303"/>
      <c r="D86" s="305">
        <v>1653</v>
      </c>
      <c r="E86" s="256"/>
      <c r="F86" s="256"/>
      <c r="G86" s="256"/>
      <c r="H86" s="256"/>
      <c r="I86" s="256"/>
      <c r="J86" s="256"/>
      <c r="K86" s="256"/>
      <c r="L86" s="256"/>
      <c r="M86" s="256"/>
      <c r="N86" s="256"/>
      <c r="O86" s="256"/>
    </row>
    <row r="87" spans="2:15" s="254" customFormat="1" ht="15.5" hidden="1" x14ac:dyDescent="0.35">
      <c r="B87" s="303"/>
      <c r="C87" s="303"/>
      <c r="D87" s="306">
        <v>1658</v>
      </c>
      <c r="E87" s="256"/>
      <c r="F87" s="256"/>
      <c r="G87" s="256"/>
      <c r="H87" s="256"/>
      <c r="I87" s="256"/>
      <c r="J87" s="256"/>
      <c r="K87" s="256"/>
      <c r="L87" s="256"/>
      <c r="M87" s="256"/>
      <c r="N87" s="256"/>
      <c r="O87" s="256"/>
    </row>
    <row r="88" spans="2:15" s="254" customFormat="1" ht="15.5" hidden="1" x14ac:dyDescent="0.35">
      <c r="B88" s="303"/>
      <c r="C88" s="303"/>
      <c r="D88" s="306">
        <v>2131</v>
      </c>
      <c r="E88" s="256"/>
      <c r="F88" s="256"/>
      <c r="G88" s="256"/>
      <c r="H88" s="256"/>
      <c r="I88" s="256"/>
      <c r="J88" s="256"/>
      <c r="K88" s="256"/>
      <c r="L88" s="256"/>
      <c r="M88" s="256"/>
      <c r="N88" s="256"/>
      <c r="O88" s="256"/>
    </row>
    <row r="89" spans="2:15" s="254" customFormat="1" ht="15.5" hidden="1" x14ac:dyDescent="0.35">
      <c r="B89" s="303"/>
      <c r="C89" s="303"/>
      <c r="D89" s="306">
        <v>4034</v>
      </c>
      <c r="E89" s="256"/>
      <c r="F89" s="256"/>
      <c r="G89" s="256"/>
      <c r="H89" s="256"/>
      <c r="I89" s="256"/>
      <c r="J89" s="256"/>
      <c r="K89" s="256"/>
      <c r="L89" s="256"/>
      <c r="M89" s="256"/>
      <c r="N89" s="256"/>
      <c r="O89" s="256"/>
    </row>
    <row r="90" spans="2:15" s="254" customFormat="1" ht="15.5" hidden="1" x14ac:dyDescent="0.35">
      <c r="B90" s="303"/>
      <c r="C90" s="303"/>
      <c r="D90" s="306">
        <v>2703</v>
      </c>
      <c r="E90" s="256"/>
      <c r="F90" s="256"/>
      <c r="G90" s="256"/>
      <c r="H90" s="256"/>
      <c r="I90" s="256"/>
      <c r="J90" s="256"/>
      <c r="K90" s="256"/>
      <c r="L90" s="256"/>
      <c r="M90" s="256"/>
      <c r="N90" s="256"/>
      <c r="O90" s="256"/>
    </row>
    <row r="91" spans="2:15" s="254" customFormat="1" ht="15.5" hidden="1" x14ac:dyDescent="0.35">
      <c r="B91" s="303"/>
      <c r="C91" s="303"/>
      <c r="D91" s="306">
        <v>2948</v>
      </c>
      <c r="E91" s="256"/>
      <c r="F91" s="256"/>
      <c r="G91" s="256"/>
      <c r="H91" s="256"/>
      <c r="I91" s="256"/>
      <c r="J91" s="256"/>
      <c r="K91" s="256"/>
      <c r="L91" s="256"/>
      <c r="M91" s="256"/>
      <c r="N91" s="256"/>
      <c r="O91" s="256"/>
    </row>
    <row r="92" spans="2:15" s="254" customFormat="1" ht="15.5" hidden="1" x14ac:dyDescent="0.35">
      <c r="B92" s="303"/>
      <c r="C92" s="303"/>
      <c r="D92" s="306">
        <v>4458</v>
      </c>
      <c r="E92" s="256"/>
      <c r="F92" s="256"/>
      <c r="G92" s="256"/>
      <c r="H92" s="256"/>
      <c r="I92" s="256"/>
      <c r="J92" s="256"/>
      <c r="K92" s="256"/>
      <c r="L92" s="256"/>
      <c r="M92" s="256"/>
      <c r="N92" s="256"/>
      <c r="O92" s="256"/>
    </row>
    <row r="93" spans="2:15" s="254" customFormat="1" ht="15.5" hidden="1" x14ac:dyDescent="0.35">
      <c r="B93" s="303"/>
      <c r="C93" s="303"/>
      <c r="D93" s="306">
        <v>3127</v>
      </c>
      <c r="E93" s="256"/>
      <c r="F93" s="256"/>
      <c r="G93" s="256"/>
      <c r="H93" s="256"/>
      <c r="I93" s="256"/>
      <c r="J93" s="256"/>
      <c r="K93" s="256"/>
      <c r="L93" s="256"/>
      <c r="M93" s="256"/>
      <c r="N93" s="256"/>
      <c r="O93" s="256"/>
    </row>
    <row r="94" spans="2:15" s="254" customFormat="1" ht="15.5" hidden="1" x14ac:dyDescent="0.35">
      <c r="B94" s="303"/>
      <c r="C94" s="303"/>
      <c r="D94" s="306">
        <v>2257</v>
      </c>
      <c r="E94" s="256"/>
      <c r="F94" s="256"/>
      <c r="G94" s="256"/>
      <c r="H94" s="256"/>
      <c r="I94" s="256"/>
      <c r="J94" s="256"/>
      <c r="K94" s="256"/>
      <c r="L94" s="256"/>
      <c r="M94" s="256"/>
      <c r="N94" s="256"/>
      <c r="O94" s="256"/>
    </row>
    <row r="95" spans="2:15" s="254" customFormat="1" ht="15.5" hidden="1" x14ac:dyDescent="0.35">
      <c r="B95" s="303"/>
      <c r="C95" s="303"/>
      <c r="D95" s="307" t="s">
        <v>273</v>
      </c>
      <c r="E95" s="256"/>
      <c r="F95" s="256"/>
      <c r="G95" s="256"/>
      <c r="H95" s="256"/>
      <c r="I95" s="256"/>
      <c r="J95" s="256"/>
      <c r="K95" s="256"/>
      <c r="L95" s="256"/>
      <c r="M95" s="256"/>
      <c r="N95" s="256"/>
      <c r="O95" s="256"/>
    </row>
    <row r="96" spans="2:15" s="254" customFormat="1" ht="15.5" hidden="1" x14ac:dyDescent="0.35">
      <c r="B96" s="303"/>
      <c r="C96" s="303"/>
      <c r="D96" s="307" t="s">
        <v>273</v>
      </c>
      <c r="E96" s="256"/>
      <c r="F96" s="256"/>
      <c r="G96" s="256"/>
      <c r="H96" s="256"/>
      <c r="I96" s="256"/>
      <c r="J96" s="256"/>
      <c r="K96" s="256"/>
      <c r="L96" s="256"/>
      <c r="M96" s="256"/>
      <c r="N96" s="256"/>
      <c r="O96" s="256"/>
    </row>
    <row r="97" spans="2:15" s="254" customFormat="1" ht="15.5" hidden="1" x14ac:dyDescent="0.35">
      <c r="B97" s="303"/>
      <c r="C97" s="303"/>
      <c r="D97" s="286"/>
      <c r="E97" s="256"/>
      <c r="F97" s="256"/>
      <c r="G97" s="256"/>
      <c r="H97" s="256"/>
      <c r="I97" s="256"/>
      <c r="J97" s="256"/>
      <c r="K97" s="256"/>
      <c r="L97" s="256"/>
      <c r="M97" s="256"/>
      <c r="N97" s="256"/>
      <c r="O97" s="256"/>
    </row>
    <row r="98" spans="2:15" s="254" customFormat="1" ht="15.5" hidden="1" x14ac:dyDescent="0.35">
      <c r="B98" s="303"/>
      <c r="C98" s="303"/>
      <c r="D98" s="286"/>
      <c r="E98" s="256"/>
      <c r="F98" s="256"/>
      <c r="G98" s="256"/>
      <c r="H98" s="256"/>
      <c r="I98" s="256"/>
      <c r="J98" s="256"/>
      <c r="K98" s="256"/>
      <c r="L98" s="256"/>
      <c r="M98" s="256"/>
      <c r="N98" s="256"/>
      <c r="O98" s="256"/>
    </row>
    <row r="99" spans="2:15" s="254" customFormat="1" ht="15.5" hidden="1" x14ac:dyDescent="0.35">
      <c r="B99" s="303"/>
      <c r="C99" s="303"/>
      <c r="D99" s="286"/>
      <c r="E99" s="256"/>
      <c r="F99" s="256"/>
      <c r="G99" s="256"/>
      <c r="H99" s="256"/>
      <c r="I99" s="256"/>
      <c r="J99" s="256"/>
      <c r="K99" s="256"/>
      <c r="L99" s="256"/>
      <c r="M99" s="256"/>
      <c r="N99" s="256"/>
      <c r="O99" s="256"/>
    </row>
    <row r="100" spans="2:15" s="254" customFormat="1" ht="15.5" hidden="1" x14ac:dyDescent="0.35">
      <c r="B100" s="303"/>
      <c r="C100" s="303"/>
      <c r="D100" s="286"/>
      <c r="E100" s="256"/>
      <c r="F100" s="256"/>
      <c r="G100" s="256"/>
      <c r="H100" s="256"/>
      <c r="I100" s="256"/>
      <c r="J100" s="256"/>
      <c r="K100" s="256"/>
      <c r="L100" s="256"/>
      <c r="M100" s="256"/>
      <c r="N100" s="256"/>
      <c r="O100" s="256"/>
    </row>
    <row r="101" spans="2:15" s="255" customFormat="1" ht="15.5" hidden="1" x14ac:dyDescent="0.35">
      <c r="B101" s="303"/>
      <c r="C101" s="303"/>
      <c r="D101" s="303"/>
      <c r="E101" s="256"/>
      <c r="F101" s="256"/>
      <c r="G101" s="256"/>
      <c r="H101" s="256"/>
      <c r="I101" s="256"/>
      <c r="J101" s="256"/>
      <c r="K101" s="256"/>
      <c r="L101" s="256"/>
      <c r="M101" s="256"/>
      <c r="N101" s="256"/>
      <c r="O101" s="256"/>
    </row>
    <row r="102" spans="2:15" s="255" customFormat="1" ht="15.5" x14ac:dyDescent="0.35">
      <c r="B102" s="308" t="s">
        <v>274</v>
      </c>
      <c r="C102" s="309">
        <f>C61/12*0.5</f>
        <v>2080.9744776823813</v>
      </c>
      <c r="D102" s="309">
        <f>D61/12*0.5</f>
        <v>2602.9433582729321</v>
      </c>
      <c r="E102" s="256"/>
      <c r="F102" s="256"/>
      <c r="G102" s="256"/>
      <c r="H102" s="256"/>
      <c r="I102" s="256"/>
      <c r="J102" s="256"/>
      <c r="K102" s="256"/>
      <c r="L102" s="256"/>
      <c r="M102" s="256"/>
      <c r="N102" s="256"/>
      <c r="O102" s="256"/>
    </row>
  </sheetData>
  <mergeCells count="12">
    <mergeCell ref="E58:F58"/>
    <mergeCell ref="E59:F60"/>
    <mergeCell ref="E7:F8"/>
    <mergeCell ref="B78:D78"/>
    <mergeCell ref="B2:D2"/>
    <mergeCell ref="E56:F56"/>
    <mergeCell ref="E57:F57"/>
    <mergeCell ref="E4:F4"/>
    <mergeCell ref="E5:F5"/>
    <mergeCell ref="E6:F6"/>
    <mergeCell ref="B26:D26"/>
    <mergeCell ref="B54:D54"/>
  </mergeCells>
  <pageMargins left="0.25" right="0.25" top="0.75" bottom="0.75" header="0.3" footer="0.3"/>
  <pageSetup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F45"/>
  <sheetViews>
    <sheetView workbookViewId="0">
      <selection activeCell="CN55" sqref="CN55"/>
    </sheetView>
  </sheetViews>
  <sheetFormatPr defaultColWidth="8.81640625" defaultRowHeight="14.5" x14ac:dyDescent="0.35"/>
  <cols>
    <col min="1" max="1" width="38.453125" customWidth="1"/>
    <col min="2" max="2" width="12.81640625" style="332" customWidth="1"/>
    <col min="3" max="74" width="7.7265625" hidden="1" customWidth="1"/>
    <col min="75" max="82" width="7.7265625" customWidth="1"/>
    <col min="99" max="110" width="9.1796875" hidden="1" customWidth="1"/>
    <col min="111" max="111" width="6.453125" customWidth="1"/>
  </cols>
  <sheetData>
    <row r="1" spans="1:110" ht="18" x14ac:dyDescent="0.4">
      <c r="A1" s="944" t="s">
        <v>146</v>
      </c>
      <c r="B1" s="945"/>
    </row>
    <row r="2" spans="1:110" ht="15.5" x14ac:dyDescent="0.35">
      <c r="A2" s="328" t="s">
        <v>367</v>
      </c>
      <c r="B2" s="329"/>
    </row>
    <row r="3" spans="1:110" ht="15" thickBot="1" x14ac:dyDescent="0.4">
      <c r="A3" s="330" t="s">
        <v>147</v>
      </c>
      <c r="B3" s="331"/>
    </row>
    <row r="6" spans="1:110" x14ac:dyDescent="0.35">
      <c r="CC6" s="333" t="s">
        <v>148</v>
      </c>
      <c r="CD6" s="333" t="s">
        <v>148</v>
      </c>
      <c r="CE6" s="333" t="s">
        <v>148</v>
      </c>
      <c r="CF6" s="333" t="s">
        <v>148</v>
      </c>
      <c r="CG6" s="334" t="s">
        <v>149</v>
      </c>
      <c r="CH6" s="334" t="s">
        <v>149</v>
      </c>
      <c r="CI6" s="334" t="s">
        <v>149</v>
      </c>
      <c r="CJ6" s="334" t="s">
        <v>149</v>
      </c>
      <c r="CK6" s="335" t="s">
        <v>368</v>
      </c>
      <c r="CL6" s="335" t="s">
        <v>368</v>
      </c>
      <c r="CM6" s="335" t="s">
        <v>368</v>
      </c>
      <c r="CN6" s="335" t="s">
        <v>368</v>
      </c>
      <c r="CO6" s="336" t="s">
        <v>369</v>
      </c>
      <c r="CP6" s="336" t="s">
        <v>369</v>
      </c>
      <c r="CQ6" s="336" t="s">
        <v>369</v>
      </c>
      <c r="CR6" s="336" t="s">
        <v>369</v>
      </c>
    </row>
    <row r="7" spans="1:110" s="332" customFormat="1" ht="13" x14ac:dyDescent="0.3">
      <c r="B7" s="332" t="s">
        <v>150</v>
      </c>
      <c r="C7" s="337" t="s">
        <v>151</v>
      </c>
      <c r="D7" s="337" t="s">
        <v>152</v>
      </c>
      <c r="E7" s="337" t="s">
        <v>153</v>
      </c>
      <c r="F7" s="337" t="s">
        <v>154</v>
      </c>
      <c r="G7" s="337" t="s">
        <v>155</v>
      </c>
      <c r="H7" s="337" t="s">
        <v>156</v>
      </c>
      <c r="I7" s="337" t="s">
        <v>157</v>
      </c>
      <c r="J7" s="337" t="s">
        <v>158</v>
      </c>
      <c r="K7" s="337" t="s">
        <v>159</v>
      </c>
      <c r="L7" s="337" t="s">
        <v>160</v>
      </c>
      <c r="M7" s="337" t="s">
        <v>161</v>
      </c>
      <c r="N7" s="337" t="s">
        <v>162</v>
      </c>
      <c r="O7" s="337" t="s">
        <v>163</v>
      </c>
      <c r="P7" s="337" t="s">
        <v>164</v>
      </c>
      <c r="Q7" s="337" t="s">
        <v>165</v>
      </c>
      <c r="R7" s="337" t="s">
        <v>166</v>
      </c>
      <c r="S7" s="337" t="s">
        <v>167</v>
      </c>
      <c r="T7" s="337" t="s">
        <v>168</v>
      </c>
      <c r="U7" s="337" t="s">
        <v>169</v>
      </c>
      <c r="V7" s="337" t="s">
        <v>170</v>
      </c>
      <c r="W7" s="337" t="s">
        <v>171</v>
      </c>
      <c r="X7" s="337" t="s">
        <v>172</v>
      </c>
      <c r="Y7" s="337" t="s">
        <v>173</v>
      </c>
      <c r="Z7" s="337" t="s">
        <v>174</v>
      </c>
      <c r="AA7" s="337" t="s">
        <v>175</v>
      </c>
      <c r="AB7" s="337" t="s">
        <v>176</v>
      </c>
      <c r="AC7" s="337" t="s">
        <v>177</v>
      </c>
      <c r="AD7" s="337" t="s">
        <v>178</v>
      </c>
      <c r="AE7" s="337" t="s">
        <v>179</v>
      </c>
      <c r="AF7" s="337" t="s">
        <v>180</v>
      </c>
      <c r="AG7" s="337" t="s">
        <v>181</v>
      </c>
      <c r="AH7" s="337" t="s">
        <v>182</v>
      </c>
      <c r="AI7" s="337" t="s">
        <v>183</v>
      </c>
      <c r="AJ7" s="337" t="s">
        <v>184</v>
      </c>
      <c r="AK7" s="337" t="s">
        <v>185</v>
      </c>
      <c r="AL7" s="337" t="s">
        <v>186</v>
      </c>
      <c r="AM7" s="337" t="s">
        <v>187</v>
      </c>
      <c r="AN7" s="337" t="s">
        <v>188</v>
      </c>
      <c r="AO7" s="337" t="s">
        <v>189</v>
      </c>
      <c r="AP7" s="337" t="s">
        <v>190</v>
      </c>
      <c r="AQ7" s="337" t="s">
        <v>191</v>
      </c>
      <c r="AR7" s="337" t="s">
        <v>192</v>
      </c>
      <c r="AS7" s="337" t="s">
        <v>193</v>
      </c>
      <c r="AT7" s="337" t="s">
        <v>194</v>
      </c>
      <c r="AU7" s="332" t="s">
        <v>195</v>
      </c>
      <c r="AV7" s="332" t="s">
        <v>196</v>
      </c>
      <c r="AW7" s="332" t="s">
        <v>197</v>
      </c>
      <c r="AX7" s="332" t="s">
        <v>198</v>
      </c>
      <c r="AY7" s="332" t="s">
        <v>199</v>
      </c>
      <c r="AZ7" s="332" t="s">
        <v>200</v>
      </c>
      <c r="BA7" s="332" t="s">
        <v>201</v>
      </c>
      <c r="BB7" s="332" t="s">
        <v>202</v>
      </c>
      <c r="BC7" s="332" t="s">
        <v>203</v>
      </c>
      <c r="BD7" s="332" t="s">
        <v>204</v>
      </c>
      <c r="BE7" s="332" t="s">
        <v>205</v>
      </c>
      <c r="BF7" s="332" t="s">
        <v>206</v>
      </c>
      <c r="BG7" s="332" t="s">
        <v>207</v>
      </c>
      <c r="BH7" s="332" t="s">
        <v>208</v>
      </c>
      <c r="BI7" s="332" t="s">
        <v>209</v>
      </c>
      <c r="BJ7" s="332" t="s">
        <v>210</v>
      </c>
      <c r="BK7" s="332" t="s">
        <v>211</v>
      </c>
      <c r="BL7" s="332" t="s">
        <v>212</v>
      </c>
      <c r="BM7" s="332" t="s">
        <v>213</v>
      </c>
      <c r="BN7" s="332" t="s">
        <v>214</v>
      </c>
      <c r="BO7" s="332" t="s">
        <v>215</v>
      </c>
      <c r="BP7" s="332" t="s">
        <v>216</v>
      </c>
      <c r="BQ7" s="332" t="s">
        <v>217</v>
      </c>
      <c r="BR7" s="332" t="s">
        <v>218</v>
      </c>
      <c r="BS7" s="332" t="s">
        <v>219</v>
      </c>
      <c r="BT7" s="332" t="s">
        <v>220</v>
      </c>
      <c r="BU7" s="332" t="s">
        <v>221</v>
      </c>
      <c r="BV7" s="332" t="s">
        <v>222</v>
      </c>
      <c r="BW7" s="332" t="s">
        <v>223</v>
      </c>
      <c r="BX7" s="332" t="s">
        <v>224</v>
      </c>
      <c r="BY7" s="332" t="s">
        <v>225</v>
      </c>
      <c r="BZ7" s="332" t="s">
        <v>226</v>
      </c>
      <c r="CA7" s="332" t="s">
        <v>227</v>
      </c>
      <c r="CB7" s="332" t="s">
        <v>228</v>
      </c>
      <c r="CC7" s="332" t="s">
        <v>229</v>
      </c>
      <c r="CD7" s="332" t="s">
        <v>230</v>
      </c>
      <c r="CE7" s="332" t="s">
        <v>231</v>
      </c>
      <c r="CF7" s="332" t="s">
        <v>232</v>
      </c>
      <c r="CG7" s="332" t="s">
        <v>233</v>
      </c>
      <c r="CH7" s="332" t="s">
        <v>234</v>
      </c>
      <c r="CI7" s="332" t="s">
        <v>235</v>
      </c>
      <c r="CJ7" s="332" t="s">
        <v>236</v>
      </c>
      <c r="CK7" s="332" t="s">
        <v>237</v>
      </c>
      <c r="CL7" s="332" t="s">
        <v>238</v>
      </c>
      <c r="CM7" s="332" t="s">
        <v>370</v>
      </c>
      <c r="CN7" s="332" t="s">
        <v>371</v>
      </c>
      <c r="CO7" s="332" t="s">
        <v>372</v>
      </c>
      <c r="CP7" s="332" t="s">
        <v>373</v>
      </c>
      <c r="CQ7" s="332" t="s">
        <v>374</v>
      </c>
      <c r="CR7" s="332" t="s">
        <v>375</v>
      </c>
      <c r="CS7" s="332" t="s">
        <v>376</v>
      </c>
      <c r="CT7" s="332" t="s">
        <v>377</v>
      </c>
      <c r="CU7" s="332" t="s">
        <v>378</v>
      </c>
      <c r="CV7" s="332" t="s">
        <v>379</v>
      </c>
      <c r="CW7" s="332" t="s">
        <v>380</v>
      </c>
      <c r="CX7" s="332" t="s">
        <v>381</v>
      </c>
      <c r="CY7" s="332" t="s">
        <v>382</v>
      </c>
      <c r="CZ7" s="332" t="s">
        <v>383</v>
      </c>
      <c r="DA7" s="332" t="s">
        <v>384</v>
      </c>
      <c r="DB7" s="332" t="s">
        <v>385</v>
      </c>
      <c r="DC7" s="332" t="s">
        <v>386</v>
      </c>
      <c r="DD7" s="332" t="s">
        <v>387</v>
      </c>
      <c r="DE7" s="332" t="s">
        <v>388</v>
      </c>
      <c r="DF7" s="332" t="s">
        <v>389</v>
      </c>
    </row>
    <row r="8" spans="1:110" x14ac:dyDescent="0.35">
      <c r="A8" s="332" t="s">
        <v>239</v>
      </c>
      <c r="B8" s="332" t="s">
        <v>240</v>
      </c>
      <c r="C8" s="338">
        <v>2.00639679451126</v>
      </c>
      <c r="D8" s="338">
        <v>2.0292109297355498</v>
      </c>
      <c r="E8" s="338">
        <v>2.0375058294524102</v>
      </c>
      <c r="F8" s="338">
        <v>2.06056286486842</v>
      </c>
      <c r="G8" s="338">
        <v>2.0745428606455998</v>
      </c>
      <c r="H8" s="338">
        <v>2.0848413942905899</v>
      </c>
      <c r="I8" s="338">
        <v>2.1205826504988901</v>
      </c>
      <c r="J8" s="338">
        <v>2.1424708884727002</v>
      </c>
      <c r="K8" s="338">
        <v>2.1577842148349302</v>
      </c>
      <c r="L8" s="338">
        <v>2.1833771521170799</v>
      </c>
      <c r="M8" s="338">
        <v>2.20415213222888</v>
      </c>
      <c r="N8" s="338">
        <v>2.1895699791396499</v>
      </c>
      <c r="O8" s="338">
        <v>2.2079136115462199</v>
      </c>
      <c r="P8" s="338">
        <v>2.2278812100652798</v>
      </c>
      <c r="Q8" s="338">
        <v>2.2459724758823998</v>
      </c>
      <c r="R8" s="338">
        <v>2.27321625302632</v>
      </c>
      <c r="S8" s="338">
        <v>2.2978763357595899</v>
      </c>
      <c r="T8" s="338">
        <v>2.3349096825049198</v>
      </c>
      <c r="U8" s="338">
        <v>2.37340386050542</v>
      </c>
      <c r="V8" s="338">
        <v>2.3214039994171398</v>
      </c>
      <c r="W8" s="338">
        <v>2.30398505677391</v>
      </c>
      <c r="X8" s="338">
        <v>2.3147083864463101</v>
      </c>
      <c r="Y8" s="338">
        <v>2.3338426453763099</v>
      </c>
      <c r="Z8" s="338">
        <v>2.3520478393720801</v>
      </c>
      <c r="AA8" s="338">
        <v>2.3571079124875198</v>
      </c>
      <c r="AB8" s="338">
        <v>2.3597617722192901</v>
      </c>
      <c r="AC8" s="338">
        <v>2.3675113152405798</v>
      </c>
      <c r="AD8" s="338">
        <v>2.3894316572521599</v>
      </c>
      <c r="AE8" s="338">
        <v>2.4081640743995498</v>
      </c>
      <c r="AF8" s="338">
        <v>2.4443091198429299</v>
      </c>
      <c r="AG8" s="338">
        <v>2.4604230131467402</v>
      </c>
      <c r="AH8" s="338">
        <v>2.4673797299606202</v>
      </c>
      <c r="AI8" s="338">
        <v>2.4804327516067102</v>
      </c>
      <c r="AJ8" s="338">
        <v>2.486800531558</v>
      </c>
      <c r="AK8" s="338">
        <v>2.4979859493426302</v>
      </c>
      <c r="AL8" s="338">
        <v>2.51748463931711</v>
      </c>
      <c r="AM8" s="338">
        <v>2.5233681242674999</v>
      </c>
      <c r="AN8" s="338">
        <v>2.5236274631965898</v>
      </c>
      <c r="AO8" s="338">
        <v>2.5385110008237399</v>
      </c>
      <c r="AP8" s="338">
        <v>2.5493378234842399</v>
      </c>
      <c r="AQ8" s="338">
        <v>2.5641532580887398</v>
      </c>
      <c r="AR8" s="338">
        <v>2.5682475848483501</v>
      </c>
      <c r="AS8" s="338">
        <v>2.5745442177532798</v>
      </c>
      <c r="AT8" s="338">
        <v>2.5703691601533998</v>
      </c>
      <c r="AU8" s="338">
        <v>2.5621458287346699</v>
      </c>
      <c r="AV8" s="338">
        <v>2.5738366275259401</v>
      </c>
      <c r="AW8" s="338">
        <v>2.5763689814164299</v>
      </c>
      <c r="AX8" s="338">
        <v>2.5767283886230801</v>
      </c>
      <c r="AY8" s="338">
        <v>2.57174264404668</v>
      </c>
      <c r="AZ8" s="338">
        <v>2.5921935040783399</v>
      </c>
      <c r="BA8" s="338">
        <v>2.6069552513680199</v>
      </c>
      <c r="BB8" s="338">
        <v>2.62538144782462</v>
      </c>
      <c r="BC8" s="338">
        <v>2.6431179142038301</v>
      </c>
      <c r="BD8" s="338">
        <v>2.6455161818091399</v>
      </c>
      <c r="BE8" s="338">
        <v>2.65158539542049</v>
      </c>
      <c r="BF8" s="338">
        <v>2.6731697651786201</v>
      </c>
      <c r="BG8" s="338">
        <v>2.7004180913353601</v>
      </c>
      <c r="BH8" s="338">
        <v>2.71929105115849</v>
      </c>
      <c r="BI8" s="338">
        <v>2.73135484596928</v>
      </c>
      <c r="BJ8" s="338">
        <v>2.7428191932094901</v>
      </c>
      <c r="BK8" s="338">
        <v>2.7493023943472399</v>
      </c>
      <c r="BL8" s="338">
        <v>2.7699198683661201</v>
      </c>
      <c r="BM8" s="338">
        <v>2.7857569710013399</v>
      </c>
      <c r="BN8" s="338">
        <v>2.7962160388037498</v>
      </c>
      <c r="BO8" s="338">
        <v>2.8061535341217798</v>
      </c>
      <c r="BP8" s="338">
        <v>2.7915859923377702</v>
      </c>
      <c r="BQ8" s="338">
        <v>2.8038608397418998</v>
      </c>
      <c r="BR8" s="338">
        <v>2.8160547506121398</v>
      </c>
      <c r="BS8" s="338">
        <v>2.8442507966276001</v>
      </c>
      <c r="BT8" s="338">
        <v>2.87972613135834</v>
      </c>
      <c r="BU8" s="338">
        <v>2.9209830633074998</v>
      </c>
      <c r="BV8" s="338">
        <v>2.9774391818411701</v>
      </c>
      <c r="BW8" s="338">
        <v>3.0353049224602802</v>
      </c>
      <c r="BX8" s="338">
        <v>3.0959757052085299</v>
      </c>
      <c r="BY8" s="338">
        <v>3.1302079773937099</v>
      </c>
      <c r="BZ8" s="338">
        <v>3.1644236579613598</v>
      </c>
      <c r="CA8" s="338">
        <v>3.1720271546852401</v>
      </c>
      <c r="CB8" s="338">
        <v>3.1746140749510698</v>
      </c>
      <c r="CC8" s="338">
        <v>3.1993314088845399</v>
      </c>
      <c r="CD8" s="338">
        <v>3.2267758849407899</v>
      </c>
      <c r="CE8" s="338">
        <v>3.24888762501012</v>
      </c>
      <c r="CF8" s="338">
        <v>3.26964582941969</v>
      </c>
      <c r="CG8" s="338">
        <v>3.2896340930964798</v>
      </c>
      <c r="CH8" s="338">
        <v>3.3053813005300601</v>
      </c>
      <c r="CI8" s="338">
        <v>3.31540037508013</v>
      </c>
      <c r="CJ8" s="338">
        <v>3.3292835392878999</v>
      </c>
      <c r="CK8" s="338">
        <v>3.34803178972642</v>
      </c>
      <c r="CL8" s="338">
        <v>3.3673825941733302</v>
      </c>
      <c r="CM8" s="338">
        <v>3.38833435878575</v>
      </c>
      <c r="CN8" s="338">
        <v>3.4096488246484</v>
      </c>
      <c r="CO8" s="338">
        <v>3.4302167440242401</v>
      </c>
      <c r="CP8" s="338">
        <v>3.45145754963055</v>
      </c>
      <c r="CQ8" s="338">
        <v>3.4722762520781498</v>
      </c>
      <c r="CR8" s="338">
        <v>3.4924343719725499</v>
      </c>
      <c r="CS8" s="338">
        <v>3.5144142725933101</v>
      </c>
      <c r="CT8" s="338">
        <v>3.5351512646516001</v>
      </c>
      <c r="CU8" s="338">
        <v>3.55554584133397</v>
      </c>
      <c r="CV8" s="338">
        <v>3.5764354228783102</v>
      </c>
      <c r="CW8" s="338">
        <v>3.59483758127999</v>
      </c>
      <c r="CX8" s="338">
        <v>3.61758129574664</v>
      </c>
      <c r="CY8" s="338">
        <v>3.63868632381413</v>
      </c>
      <c r="CZ8" s="338">
        <v>3.6591118208728699</v>
      </c>
      <c r="DA8" s="338">
        <v>3.68043866459842</v>
      </c>
      <c r="DB8" s="338">
        <v>3.7011701172571398</v>
      </c>
      <c r="DC8" s="338">
        <v>3.7224710034620299</v>
      </c>
      <c r="DD8" s="338">
        <v>3.7438151538286601</v>
      </c>
      <c r="DE8" s="338">
        <v>3.7655756592132099</v>
      </c>
      <c r="DF8" s="338">
        <v>3.7872768667310699</v>
      </c>
    </row>
    <row r="9" spans="1:110" x14ac:dyDescent="0.35">
      <c r="A9" s="332" t="s">
        <v>241</v>
      </c>
      <c r="B9" s="332" t="s">
        <v>242</v>
      </c>
      <c r="C9" s="338">
        <v>2.00639679451126</v>
      </c>
      <c r="D9" s="338">
        <v>2.0292109297355498</v>
      </c>
      <c r="E9" s="338">
        <v>2.0375058294524102</v>
      </c>
      <c r="F9" s="338">
        <v>2.06056286486842</v>
      </c>
      <c r="G9" s="338">
        <v>2.0745428606455998</v>
      </c>
      <c r="H9" s="338">
        <v>2.0848413942905899</v>
      </c>
      <c r="I9" s="338">
        <v>2.1205826504988901</v>
      </c>
      <c r="J9" s="338">
        <v>2.1424708884727002</v>
      </c>
      <c r="K9" s="338">
        <v>2.1577842148349302</v>
      </c>
      <c r="L9" s="338">
        <v>2.1833771521170799</v>
      </c>
      <c r="M9" s="338">
        <v>2.20415213222888</v>
      </c>
      <c r="N9" s="338">
        <v>2.1895699791396499</v>
      </c>
      <c r="O9" s="338">
        <v>2.2079136115462199</v>
      </c>
      <c r="P9" s="338">
        <v>2.2278812100652798</v>
      </c>
      <c r="Q9" s="338">
        <v>2.2459724758823998</v>
      </c>
      <c r="R9" s="338">
        <v>2.27321625302632</v>
      </c>
      <c r="S9" s="338">
        <v>2.2978763357595899</v>
      </c>
      <c r="T9" s="338">
        <v>2.3349096825049198</v>
      </c>
      <c r="U9" s="338">
        <v>2.37340386050542</v>
      </c>
      <c r="V9" s="338">
        <v>2.3214039994171398</v>
      </c>
      <c r="W9" s="338">
        <v>2.30398505677391</v>
      </c>
      <c r="X9" s="338">
        <v>2.3147083864463101</v>
      </c>
      <c r="Y9" s="338">
        <v>2.3338426453763099</v>
      </c>
      <c r="Z9" s="338">
        <v>2.3520478393720801</v>
      </c>
      <c r="AA9" s="338">
        <v>2.3571079124875198</v>
      </c>
      <c r="AB9" s="338">
        <v>2.3597617722192901</v>
      </c>
      <c r="AC9" s="338">
        <v>2.3675113152405798</v>
      </c>
      <c r="AD9" s="338">
        <v>2.3894316572521599</v>
      </c>
      <c r="AE9" s="338">
        <v>2.4081640743995498</v>
      </c>
      <c r="AF9" s="338">
        <v>2.4443091198429299</v>
      </c>
      <c r="AG9" s="338">
        <v>2.4604230131467402</v>
      </c>
      <c r="AH9" s="338">
        <v>2.4673797299606202</v>
      </c>
      <c r="AI9" s="338">
        <v>2.4804327516067102</v>
      </c>
      <c r="AJ9" s="338">
        <v>2.486800531558</v>
      </c>
      <c r="AK9" s="338">
        <v>2.4979859493426302</v>
      </c>
      <c r="AL9" s="338">
        <v>2.51748463931711</v>
      </c>
      <c r="AM9" s="338">
        <v>2.5233681242674999</v>
      </c>
      <c r="AN9" s="338">
        <v>2.5236274631965898</v>
      </c>
      <c r="AO9" s="338">
        <v>2.5385110008237399</v>
      </c>
      <c r="AP9" s="338">
        <v>2.5493378234842399</v>
      </c>
      <c r="AQ9" s="338">
        <v>2.5641532580887398</v>
      </c>
      <c r="AR9" s="338">
        <v>2.5682475848483501</v>
      </c>
      <c r="AS9" s="338">
        <v>2.5745442177532798</v>
      </c>
      <c r="AT9" s="338">
        <v>2.5703691601533998</v>
      </c>
      <c r="AU9" s="338">
        <v>2.5621458287346699</v>
      </c>
      <c r="AV9" s="338">
        <v>2.5738366275259401</v>
      </c>
      <c r="AW9" s="338">
        <v>2.5763689814164299</v>
      </c>
      <c r="AX9" s="338">
        <v>2.5767283886230801</v>
      </c>
      <c r="AY9" s="338">
        <v>2.57174264404668</v>
      </c>
      <c r="AZ9" s="338">
        <v>2.5921935040783399</v>
      </c>
      <c r="BA9" s="338">
        <v>2.6069552513680199</v>
      </c>
      <c r="BB9" s="338">
        <v>2.62538144782462</v>
      </c>
      <c r="BC9" s="338">
        <v>2.6431179142038301</v>
      </c>
      <c r="BD9" s="338">
        <v>2.6455161818091399</v>
      </c>
      <c r="BE9" s="338">
        <v>2.65158539542049</v>
      </c>
      <c r="BF9" s="338">
        <v>2.6731697651786201</v>
      </c>
      <c r="BG9" s="338">
        <v>2.7004180913353601</v>
      </c>
      <c r="BH9" s="338">
        <v>2.71929105115849</v>
      </c>
      <c r="BI9" s="338">
        <v>2.73135484596928</v>
      </c>
      <c r="BJ9" s="338">
        <v>2.7428191932094901</v>
      </c>
      <c r="BK9" s="338">
        <v>2.7493023943472399</v>
      </c>
      <c r="BL9" s="338">
        <v>2.7699198683661201</v>
      </c>
      <c r="BM9" s="338">
        <v>2.7857569710013399</v>
      </c>
      <c r="BN9" s="338">
        <v>2.7962160388037498</v>
      </c>
      <c r="BO9" s="338">
        <v>2.8061535341217798</v>
      </c>
      <c r="BP9" s="338">
        <v>2.7915859923377702</v>
      </c>
      <c r="BQ9" s="338">
        <v>2.8038608397418998</v>
      </c>
      <c r="BR9" s="338">
        <v>2.8160547506121398</v>
      </c>
      <c r="BS9" s="338">
        <v>2.8442507966276001</v>
      </c>
      <c r="BT9" s="338">
        <v>2.87972613135834</v>
      </c>
      <c r="BU9" s="338">
        <v>2.9209830633074998</v>
      </c>
      <c r="BV9" s="338">
        <v>2.9774391818411701</v>
      </c>
      <c r="BW9" s="338">
        <v>3.0353049224602802</v>
      </c>
      <c r="BX9" s="338">
        <v>3.0959757052085299</v>
      </c>
      <c r="BY9" s="338">
        <v>3.1302079773937099</v>
      </c>
      <c r="BZ9" s="338">
        <v>3.1644236579613598</v>
      </c>
      <c r="CA9" s="338">
        <v>3.1720271546852401</v>
      </c>
      <c r="CB9" s="338">
        <v>3.1746140749510698</v>
      </c>
      <c r="CC9" s="338">
        <v>3.1993314088845399</v>
      </c>
      <c r="CD9" s="338">
        <v>3.2267758849407899</v>
      </c>
      <c r="CE9" s="338">
        <v>3.23861104385055</v>
      </c>
      <c r="CF9" s="338">
        <v>3.2586911143828101</v>
      </c>
      <c r="CG9" s="338">
        <v>3.2747145479094502</v>
      </c>
      <c r="CH9" s="338">
        <v>3.2888482187183001</v>
      </c>
      <c r="CI9" s="338">
        <v>3.2980662097021098</v>
      </c>
      <c r="CJ9" s="338">
        <v>3.3103080504098301</v>
      </c>
      <c r="CK9" s="338">
        <v>3.3271189360512898</v>
      </c>
      <c r="CL9" s="338">
        <v>3.3442433232875199</v>
      </c>
      <c r="CM9" s="338">
        <v>3.3629304591705398</v>
      </c>
      <c r="CN9" s="338">
        <v>3.3816871263152701</v>
      </c>
      <c r="CO9" s="338">
        <v>3.3998849861946701</v>
      </c>
      <c r="CP9" s="338">
        <v>3.4188380416453801</v>
      </c>
      <c r="CQ9" s="338">
        <v>3.43763686882959</v>
      </c>
      <c r="CR9" s="338">
        <v>3.4557039278676198</v>
      </c>
      <c r="CS9" s="338">
        <v>3.4755336252277802</v>
      </c>
      <c r="CT9" s="338">
        <v>3.49420749370704</v>
      </c>
      <c r="CU9" s="338">
        <v>3.51266527336763</v>
      </c>
      <c r="CV9" s="338">
        <v>3.5316196326200102</v>
      </c>
      <c r="CW9" s="338">
        <v>3.5481028861103598</v>
      </c>
      <c r="CX9" s="338">
        <v>3.5686972473543399</v>
      </c>
      <c r="CY9" s="338">
        <v>3.5878070667964099</v>
      </c>
      <c r="CZ9" s="338">
        <v>3.60601339684285</v>
      </c>
      <c r="DA9" s="338">
        <v>3.6249443264757701</v>
      </c>
      <c r="DB9" s="338">
        <v>3.6431192808362498</v>
      </c>
      <c r="DC9" s="338">
        <v>3.6618952687172399</v>
      </c>
      <c r="DD9" s="338">
        <v>3.6804056076660601</v>
      </c>
      <c r="DE9" s="338">
        <v>3.6991810732536998</v>
      </c>
      <c r="DF9" s="338">
        <v>3.7177417370148498</v>
      </c>
    </row>
    <row r="10" spans="1:110" x14ac:dyDescent="0.35">
      <c r="A10" s="332" t="s">
        <v>243</v>
      </c>
      <c r="B10" s="332" t="s">
        <v>244</v>
      </c>
      <c r="C10" s="338">
        <v>2.00639679451126</v>
      </c>
      <c r="D10" s="338">
        <v>2.0292109297355498</v>
      </c>
      <c r="E10" s="338">
        <v>2.0375058294524102</v>
      </c>
      <c r="F10" s="338">
        <v>2.06056286486842</v>
      </c>
      <c r="G10" s="338">
        <v>2.0745428606455998</v>
      </c>
      <c r="H10" s="338">
        <v>2.0848413942905899</v>
      </c>
      <c r="I10" s="338">
        <v>2.1205826504988901</v>
      </c>
      <c r="J10" s="338">
        <v>2.1424708884727002</v>
      </c>
      <c r="K10" s="338">
        <v>2.1577842148349302</v>
      </c>
      <c r="L10" s="338">
        <v>2.1833771521170799</v>
      </c>
      <c r="M10" s="338">
        <v>2.20415213222888</v>
      </c>
      <c r="N10" s="338">
        <v>2.1895699791396499</v>
      </c>
      <c r="O10" s="338">
        <v>2.2079136115462199</v>
      </c>
      <c r="P10" s="338">
        <v>2.2278812100652798</v>
      </c>
      <c r="Q10" s="338">
        <v>2.2459724758823998</v>
      </c>
      <c r="R10" s="338">
        <v>2.27321625302632</v>
      </c>
      <c r="S10" s="338">
        <v>2.2978763357595899</v>
      </c>
      <c r="T10" s="338">
        <v>2.3349096825049198</v>
      </c>
      <c r="U10" s="338">
        <v>2.37340386050542</v>
      </c>
      <c r="V10" s="338">
        <v>2.3214039994171398</v>
      </c>
      <c r="W10" s="338">
        <v>2.30398505677391</v>
      </c>
      <c r="X10" s="338">
        <v>2.3147083864463101</v>
      </c>
      <c r="Y10" s="338">
        <v>2.3338426453763099</v>
      </c>
      <c r="Z10" s="338">
        <v>2.3520478393720801</v>
      </c>
      <c r="AA10" s="338">
        <v>2.3571079124875198</v>
      </c>
      <c r="AB10" s="338">
        <v>2.3597617722192901</v>
      </c>
      <c r="AC10" s="338">
        <v>2.3675113152405798</v>
      </c>
      <c r="AD10" s="338">
        <v>2.3894316572521599</v>
      </c>
      <c r="AE10" s="338">
        <v>2.4081640743995498</v>
      </c>
      <c r="AF10" s="338">
        <v>2.4443091198429299</v>
      </c>
      <c r="AG10" s="338">
        <v>2.4604230131467402</v>
      </c>
      <c r="AH10" s="338">
        <v>2.4673797299606202</v>
      </c>
      <c r="AI10" s="338">
        <v>2.4804327516067102</v>
      </c>
      <c r="AJ10" s="338">
        <v>2.486800531558</v>
      </c>
      <c r="AK10" s="338">
        <v>2.4979859493426302</v>
      </c>
      <c r="AL10" s="338">
        <v>2.51748463931711</v>
      </c>
      <c r="AM10" s="338">
        <v>2.5233681242674999</v>
      </c>
      <c r="AN10" s="338">
        <v>2.5236274631965898</v>
      </c>
      <c r="AO10" s="338">
        <v>2.5385110008237399</v>
      </c>
      <c r="AP10" s="338">
        <v>2.5493378234842399</v>
      </c>
      <c r="AQ10" s="338">
        <v>2.5641532580887398</v>
      </c>
      <c r="AR10" s="338">
        <v>2.5682475848483501</v>
      </c>
      <c r="AS10" s="338">
        <v>2.5745442177532798</v>
      </c>
      <c r="AT10" s="338">
        <v>2.5703691601533998</v>
      </c>
      <c r="AU10" s="338">
        <v>2.5621458287346699</v>
      </c>
      <c r="AV10" s="338">
        <v>2.5738366275259401</v>
      </c>
      <c r="AW10" s="338">
        <v>2.5763689814164299</v>
      </c>
      <c r="AX10" s="338">
        <v>2.5767283886230801</v>
      </c>
      <c r="AY10" s="338">
        <v>2.57174264404668</v>
      </c>
      <c r="AZ10" s="338">
        <v>2.5921935040783399</v>
      </c>
      <c r="BA10" s="338">
        <v>2.6069552513680199</v>
      </c>
      <c r="BB10" s="338">
        <v>2.62538144782462</v>
      </c>
      <c r="BC10" s="338">
        <v>2.6431179142038301</v>
      </c>
      <c r="BD10" s="338">
        <v>2.6455161818091399</v>
      </c>
      <c r="BE10" s="338">
        <v>2.65158539542049</v>
      </c>
      <c r="BF10" s="338">
        <v>2.6731697651786201</v>
      </c>
      <c r="BG10" s="338">
        <v>2.7004180913353601</v>
      </c>
      <c r="BH10" s="338">
        <v>2.71929105115849</v>
      </c>
      <c r="BI10" s="338">
        <v>2.73135484596928</v>
      </c>
      <c r="BJ10" s="338">
        <v>2.7428191932094901</v>
      </c>
      <c r="BK10" s="338">
        <v>2.7493023943472399</v>
      </c>
      <c r="BL10" s="338">
        <v>2.7699198683661201</v>
      </c>
      <c r="BM10" s="338">
        <v>2.7857569710013399</v>
      </c>
      <c r="BN10" s="338">
        <v>2.7962160388037498</v>
      </c>
      <c r="BO10" s="338">
        <v>2.8061535341217798</v>
      </c>
      <c r="BP10" s="338">
        <v>2.7915859923377702</v>
      </c>
      <c r="BQ10" s="338">
        <v>2.8038608397418998</v>
      </c>
      <c r="BR10" s="338">
        <v>2.8160547506121398</v>
      </c>
      <c r="BS10" s="338">
        <v>2.8442507966276001</v>
      </c>
      <c r="BT10" s="338">
        <v>2.87972613135834</v>
      </c>
      <c r="BU10" s="338">
        <v>2.9209830633074998</v>
      </c>
      <c r="BV10" s="338">
        <v>2.9774391818411701</v>
      </c>
      <c r="BW10" s="338">
        <v>3.0353049224602802</v>
      </c>
      <c r="BX10" s="338">
        <v>3.0959757052085299</v>
      </c>
      <c r="BY10" s="338">
        <v>3.1302079773937099</v>
      </c>
      <c r="BZ10" s="338">
        <v>3.1644236579613598</v>
      </c>
      <c r="CA10" s="338">
        <v>3.1720271546852401</v>
      </c>
      <c r="CB10" s="338">
        <v>3.1746140749510698</v>
      </c>
      <c r="CC10" s="338">
        <v>3.1993314088845399</v>
      </c>
      <c r="CD10" s="338">
        <v>3.2267758849407899</v>
      </c>
      <c r="CE10" s="338">
        <v>3.2693381681165499</v>
      </c>
      <c r="CF10" s="338">
        <v>3.30699111572862</v>
      </c>
      <c r="CG10" s="338">
        <v>3.3439200076883999</v>
      </c>
      <c r="CH10" s="338">
        <v>3.3734855400417998</v>
      </c>
      <c r="CI10" s="338">
        <v>3.3957809994631298</v>
      </c>
      <c r="CJ10" s="338">
        <v>3.4222739011384</v>
      </c>
      <c r="CK10" s="338">
        <v>3.4531309431427499</v>
      </c>
      <c r="CL10" s="338">
        <v>3.4842388432884599</v>
      </c>
      <c r="CM10" s="338">
        <v>3.5172215135383502</v>
      </c>
      <c r="CN10" s="338">
        <v>3.55090220299489</v>
      </c>
      <c r="CO10" s="338">
        <v>3.5841187616108399</v>
      </c>
      <c r="CP10" s="338">
        <v>3.6183216989814002</v>
      </c>
      <c r="CQ10" s="338">
        <v>3.6516391273185</v>
      </c>
      <c r="CR10" s="338">
        <v>3.6837931741219698</v>
      </c>
      <c r="CS10" s="338">
        <v>3.7179564008669801</v>
      </c>
      <c r="CT10" s="338">
        <v>3.7511161035314702</v>
      </c>
      <c r="CU10" s="338">
        <v>3.78437717042361</v>
      </c>
      <c r="CV10" s="338">
        <v>3.81824237174451</v>
      </c>
      <c r="CW10" s="338">
        <v>3.8497757633287599</v>
      </c>
      <c r="CX10" s="338">
        <v>3.88598572024127</v>
      </c>
      <c r="CY10" s="338">
        <v>3.9206759123421699</v>
      </c>
      <c r="CZ10" s="338">
        <v>3.9545752476342302</v>
      </c>
      <c r="DA10" s="338">
        <v>3.9895098230862001</v>
      </c>
      <c r="DB10" s="338">
        <v>4.0239802978325603</v>
      </c>
      <c r="DC10" s="338">
        <v>4.0593348304644801</v>
      </c>
      <c r="DD10" s="338">
        <v>4.0948528428443902</v>
      </c>
      <c r="DE10" s="338">
        <v>4.1310069630033599</v>
      </c>
      <c r="DF10" s="338">
        <v>4.1673692408863596</v>
      </c>
    </row>
    <row r="12" spans="1:110" x14ac:dyDescent="0.35">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row>
    <row r="13" spans="1:110" x14ac:dyDescent="0.35">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row>
    <row r="14" spans="1:110" x14ac:dyDescent="0.35">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row>
    <row r="17" spans="83:94" x14ac:dyDescent="0.35">
      <c r="CE17" s="340" t="s">
        <v>340</v>
      </c>
      <c r="CF17" s="341"/>
      <c r="CG17" s="341"/>
      <c r="CH17" s="342" t="s">
        <v>390</v>
      </c>
      <c r="CI17" s="343"/>
      <c r="CJ17" s="343"/>
      <c r="CK17" s="343"/>
      <c r="CL17" s="343"/>
      <c r="CM17" s="343"/>
      <c r="CN17" s="341"/>
      <c r="CO17" s="341" t="s">
        <v>391</v>
      </c>
      <c r="CP17" s="341"/>
    </row>
    <row r="18" spans="83:94" x14ac:dyDescent="0.35">
      <c r="CE18" s="344"/>
      <c r="CF18" s="345"/>
      <c r="CG18" s="345"/>
      <c r="CH18" s="345"/>
      <c r="CI18" s="345"/>
      <c r="CJ18" s="345"/>
      <c r="CK18" s="345"/>
      <c r="CL18" s="345"/>
      <c r="CM18" s="345"/>
      <c r="CN18" s="345"/>
      <c r="CO18" s="345"/>
      <c r="CP18" s="346"/>
    </row>
    <row r="19" spans="83:94" x14ac:dyDescent="0.35">
      <c r="CE19" s="347"/>
      <c r="CF19" s="348" t="s">
        <v>245</v>
      </c>
      <c r="CG19" s="349" t="s">
        <v>392</v>
      </c>
      <c r="CH19" s="341"/>
      <c r="CI19" s="341"/>
      <c r="CJ19" s="341"/>
      <c r="CK19" s="341"/>
      <c r="CL19" s="341"/>
      <c r="CM19" s="341"/>
      <c r="CN19" s="341"/>
      <c r="CO19" s="341"/>
      <c r="CP19" s="350"/>
    </row>
    <row r="20" spans="83:94" x14ac:dyDescent="0.35">
      <c r="CE20" s="347"/>
      <c r="CF20" s="341"/>
      <c r="CG20" s="351" t="s">
        <v>234</v>
      </c>
      <c r="CH20" s="351"/>
      <c r="CI20" s="351"/>
      <c r="CJ20" s="351"/>
      <c r="CK20" s="341"/>
      <c r="CL20" s="341"/>
      <c r="CM20" s="341"/>
      <c r="CN20" s="341"/>
      <c r="CO20" s="341"/>
      <c r="CP20" s="352" t="s">
        <v>246</v>
      </c>
    </row>
    <row r="21" spans="83:94" x14ac:dyDescent="0.35">
      <c r="CE21" s="347"/>
      <c r="CF21" s="341"/>
      <c r="CG21" s="353">
        <f>CH9</f>
        <v>3.2888482187183001</v>
      </c>
      <c r="CH21" s="354"/>
      <c r="CI21" s="354"/>
      <c r="CJ21" s="354"/>
      <c r="CK21" s="341"/>
      <c r="CL21" s="341"/>
      <c r="CM21" s="341"/>
      <c r="CN21" s="341"/>
      <c r="CO21" s="341"/>
      <c r="CP21" s="355">
        <f>AVERAGE(CG21:CJ21)</f>
        <v>3.2888482187183001</v>
      </c>
    </row>
    <row r="22" spans="83:94" x14ac:dyDescent="0.35">
      <c r="CE22" s="347"/>
      <c r="CF22" s="341"/>
      <c r="CG22" s="341"/>
      <c r="CH22" s="341"/>
      <c r="CI22" s="341"/>
      <c r="CJ22" s="341"/>
      <c r="CK22" s="341"/>
      <c r="CL22" s="341"/>
      <c r="CM22" s="341"/>
      <c r="CN22" s="341"/>
      <c r="CO22" s="341"/>
      <c r="CP22" s="356"/>
    </row>
    <row r="23" spans="83:94" x14ac:dyDescent="0.35">
      <c r="CE23" s="946" t="s">
        <v>247</v>
      </c>
      <c r="CF23" s="947"/>
      <c r="CG23" s="947"/>
      <c r="CH23" s="341" t="s">
        <v>393</v>
      </c>
      <c r="CI23" s="341"/>
      <c r="CJ23" s="341"/>
      <c r="CK23" s="341"/>
      <c r="CL23" s="341"/>
      <c r="CM23" s="341"/>
      <c r="CN23" s="341"/>
      <c r="CO23" s="341"/>
      <c r="CP23" s="356"/>
    </row>
    <row r="24" spans="83:94" x14ac:dyDescent="0.35">
      <c r="CE24" s="357"/>
      <c r="CF24" s="348"/>
      <c r="CG24" s="332" t="s">
        <v>235</v>
      </c>
      <c r="CH24" s="332" t="s">
        <v>236</v>
      </c>
      <c r="CI24" s="332" t="s">
        <v>237</v>
      </c>
      <c r="CJ24" s="332" t="s">
        <v>238</v>
      </c>
      <c r="CK24" s="332" t="s">
        <v>370</v>
      </c>
      <c r="CL24" s="332" t="s">
        <v>371</v>
      </c>
      <c r="CM24" s="332" t="s">
        <v>372</v>
      </c>
      <c r="CN24" s="332" t="s">
        <v>373</v>
      </c>
      <c r="CO24" s="341"/>
      <c r="CP24" s="356"/>
    </row>
    <row r="25" spans="83:94" x14ac:dyDescent="0.35">
      <c r="CE25" s="347"/>
      <c r="CF25" s="341"/>
      <c r="CG25" s="358">
        <f>CI9</f>
        <v>3.2980662097021098</v>
      </c>
      <c r="CH25" s="358">
        <f t="shared" ref="CH25:CN25" si="0">CJ9</f>
        <v>3.3103080504098301</v>
      </c>
      <c r="CI25" s="358">
        <f t="shared" si="0"/>
        <v>3.3271189360512898</v>
      </c>
      <c r="CJ25" s="358">
        <f t="shared" si="0"/>
        <v>3.3442433232875199</v>
      </c>
      <c r="CK25" s="358">
        <f t="shared" si="0"/>
        <v>3.3629304591705398</v>
      </c>
      <c r="CL25" s="358">
        <f t="shared" si="0"/>
        <v>3.3816871263152701</v>
      </c>
      <c r="CM25" s="358">
        <f t="shared" si="0"/>
        <v>3.3998849861946701</v>
      </c>
      <c r="CN25" s="358">
        <f t="shared" si="0"/>
        <v>3.4188380416453801</v>
      </c>
      <c r="CO25" s="341"/>
      <c r="CP25" s="355">
        <f>AVERAGE(CG25:CN25)</f>
        <v>3.3553846415970763</v>
      </c>
    </row>
    <row r="26" spans="83:94" x14ac:dyDescent="0.35">
      <c r="CE26" s="347"/>
      <c r="CF26" s="341"/>
      <c r="CG26" s="341"/>
      <c r="CH26" s="341"/>
      <c r="CI26" s="341"/>
      <c r="CJ26" s="341"/>
      <c r="CK26" s="341"/>
      <c r="CL26" s="341"/>
      <c r="CM26" s="341"/>
      <c r="CN26" s="341"/>
      <c r="CO26" s="341"/>
      <c r="CP26" s="356"/>
    </row>
    <row r="27" spans="83:94" x14ac:dyDescent="0.35">
      <c r="CE27" s="347"/>
      <c r="CF27" s="341"/>
      <c r="CG27" s="341"/>
      <c r="CH27" s="341"/>
      <c r="CI27" s="341"/>
      <c r="CJ27" s="341"/>
      <c r="CK27" s="341"/>
      <c r="CL27" s="341"/>
      <c r="CM27" s="341"/>
      <c r="CN27" s="341"/>
      <c r="CO27" s="359" t="s">
        <v>248</v>
      </c>
      <c r="CP27" s="360">
        <f>(CP25-CP21)/CP21</f>
        <v>2.02309192926836E-2</v>
      </c>
    </row>
    <row r="28" spans="83:94" x14ac:dyDescent="0.35">
      <c r="CE28" s="361"/>
      <c r="CF28" s="362"/>
      <c r="CG28" s="362"/>
      <c r="CH28" s="362"/>
      <c r="CI28" s="362"/>
      <c r="CJ28" s="362"/>
      <c r="CK28" s="362"/>
      <c r="CL28" s="362"/>
      <c r="CM28" s="362"/>
      <c r="CN28" s="362"/>
      <c r="CO28" s="362"/>
      <c r="CP28" s="363"/>
    </row>
    <row r="31" spans="83:94" hidden="1" x14ac:dyDescent="0.35"/>
    <row r="32" spans="83:94" hidden="1" x14ac:dyDescent="0.35">
      <c r="CE32" s="340" t="s">
        <v>340</v>
      </c>
      <c r="CF32" s="341"/>
      <c r="CG32" s="341"/>
      <c r="CH32" s="342" t="s">
        <v>390</v>
      </c>
      <c r="CI32" s="343"/>
      <c r="CJ32" s="343"/>
      <c r="CK32" s="343"/>
      <c r="CL32" s="343"/>
      <c r="CM32" s="343"/>
      <c r="CN32" s="341"/>
      <c r="CO32" s="341" t="s">
        <v>394</v>
      </c>
      <c r="CP32" s="341"/>
    </row>
    <row r="33" spans="83:94" hidden="1" x14ac:dyDescent="0.35">
      <c r="CE33" s="344"/>
      <c r="CF33" s="345"/>
      <c r="CG33" s="345"/>
      <c r="CH33" s="345"/>
      <c r="CI33" s="345"/>
      <c r="CJ33" s="345"/>
      <c r="CK33" s="345"/>
      <c r="CL33" s="345"/>
      <c r="CM33" s="345"/>
      <c r="CN33" s="345"/>
      <c r="CO33" s="345"/>
      <c r="CP33" s="346"/>
    </row>
    <row r="34" spans="83:94" hidden="1" x14ac:dyDescent="0.35">
      <c r="CE34" s="347"/>
      <c r="CF34" s="348" t="s">
        <v>245</v>
      </c>
      <c r="CG34" s="349" t="s">
        <v>392</v>
      </c>
      <c r="CH34" s="341"/>
      <c r="CI34" s="341"/>
      <c r="CJ34" s="341"/>
      <c r="CK34" s="341"/>
      <c r="CL34" s="341"/>
      <c r="CM34" s="341"/>
      <c r="CN34" s="341"/>
      <c r="CO34" s="341"/>
      <c r="CP34" s="350"/>
    </row>
    <row r="35" spans="83:94" hidden="1" x14ac:dyDescent="0.35">
      <c r="CE35" s="347"/>
      <c r="CF35" s="341"/>
      <c r="CG35" s="351" t="s">
        <v>234</v>
      </c>
      <c r="CH35" s="351"/>
      <c r="CI35" s="351"/>
      <c r="CJ35" s="351"/>
      <c r="CK35" s="341"/>
      <c r="CL35" s="341"/>
      <c r="CM35" s="341"/>
      <c r="CN35" s="341"/>
      <c r="CO35" s="341"/>
      <c r="CP35" s="352" t="s">
        <v>246</v>
      </c>
    </row>
    <row r="36" spans="83:94" hidden="1" x14ac:dyDescent="0.35">
      <c r="CE36" s="347"/>
      <c r="CF36" s="341"/>
      <c r="CG36" s="353">
        <f>CH8</f>
        <v>3.3053813005300601</v>
      </c>
      <c r="CH36" s="354"/>
      <c r="CI36" s="354"/>
      <c r="CJ36" s="354"/>
      <c r="CK36" s="341"/>
      <c r="CL36" s="341"/>
      <c r="CM36" s="341"/>
      <c r="CN36" s="341"/>
      <c r="CO36" s="341"/>
      <c r="CP36" s="355">
        <f>AVERAGE(CG36:CJ36)</f>
        <v>3.3053813005300601</v>
      </c>
    </row>
    <row r="37" spans="83:94" hidden="1" x14ac:dyDescent="0.35">
      <c r="CE37" s="347"/>
      <c r="CF37" s="341"/>
      <c r="CG37" s="341"/>
      <c r="CH37" s="341"/>
      <c r="CI37" s="341"/>
      <c r="CJ37" s="341"/>
      <c r="CK37" s="341"/>
      <c r="CL37" s="341"/>
      <c r="CM37" s="341"/>
      <c r="CN37" s="341"/>
      <c r="CO37" s="341"/>
      <c r="CP37" s="356"/>
    </row>
    <row r="38" spans="83:94" hidden="1" x14ac:dyDescent="0.35">
      <c r="CE38" s="946" t="s">
        <v>247</v>
      </c>
      <c r="CF38" s="947"/>
      <c r="CG38" s="947"/>
      <c r="CH38" s="341" t="s">
        <v>410</v>
      </c>
      <c r="CI38" s="341"/>
      <c r="CJ38" s="341"/>
      <c r="CK38" s="341"/>
      <c r="CL38" s="341"/>
      <c r="CM38" s="341"/>
      <c r="CN38" s="341"/>
      <c r="CO38" s="341"/>
      <c r="CP38" s="356"/>
    </row>
    <row r="39" spans="83:94" hidden="1" x14ac:dyDescent="0.35">
      <c r="CE39" s="357"/>
      <c r="CF39" s="348"/>
      <c r="CG39" s="332" t="s">
        <v>235</v>
      </c>
      <c r="CH39" s="332" t="s">
        <v>236</v>
      </c>
      <c r="CI39" s="332" t="s">
        <v>237</v>
      </c>
      <c r="CJ39" s="332" t="s">
        <v>238</v>
      </c>
      <c r="CK39" s="332" t="s">
        <v>370</v>
      </c>
      <c r="CL39" s="332" t="s">
        <v>371</v>
      </c>
      <c r="CM39" s="332" t="s">
        <v>372</v>
      </c>
      <c r="CN39" s="332" t="s">
        <v>373</v>
      </c>
      <c r="CO39" s="341"/>
      <c r="CP39" s="356"/>
    </row>
    <row r="40" spans="83:94" hidden="1" x14ac:dyDescent="0.35">
      <c r="CE40" s="347"/>
      <c r="CF40" s="341"/>
      <c r="CG40" s="338">
        <v>3.31540037508013</v>
      </c>
      <c r="CH40" s="338">
        <v>3.3292835392878999</v>
      </c>
      <c r="CI40" s="338">
        <v>3.34803178972642</v>
      </c>
      <c r="CJ40" s="338">
        <v>3.3673825941733302</v>
      </c>
      <c r="CK40" s="338">
        <v>3.38833435878575</v>
      </c>
      <c r="CL40" s="338">
        <v>3.4096488246484</v>
      </c>
      <c r="CM40" s="338">
        <v>3.4302167440242401</v>
      </c>
      <c r="CN40" s="338">
        <v>3.45145754963055</v>
      </c>
      <c r="CO40" s="341"/>
      <c r="CP40" s="355">
        <f>AVERAGE(CG40:CN40)</f>
        <v>3.3799694719195901</v>
      </c>
    </row>
    <row r="41" spans="83:94" hidden="1" x14ac:dyDescent="0.35">
      <c r="CE41" s="347"/>
      <c r="CF41" s="341"/>
      <c r="CG41" s="341"/>
      <c r="CH41" s="341"/>
      <c r="CI41" s="341"/>
      <c r="CJ41" s="341"/>
      <c r="CK41" s="341"/>
      <c r="CL41" s="341"/>
      <c r="CM41" s="341"/>
      <c r="CN41" s="341"/>
      <c r="CO41" s="341"/>
      <c r="CP41" s="356"/>
    </row>
    <row r="42" spans="83:94" hidden="1" x14ac:dyDescent="0.35">
      <c r="CE42" s="347"/>
      <c r="CF42" s="341"/>
      <c r="CG42" s="341"/>
      <c r="CH42" s="341"/>
      <c r="CI42" s="341"/>
      <c r="CJ42" s="341"/>
      <c r="CK42" s="341"/>
      <c r="CL42" s="341"/>
      <c r="CM42" s="341"/>
      <c r="CN42" s="341"/>
      <c r="CO42" s="359" t="s">
        <v>248</v>
      </c>
      <c r="CP42" s="360">
        <f>(CP40-CP36)/CP36</f>
        <v>2.2565678391648442E-2</v>
      </c>
    </row>
    <row r="43" spans="83:94" hidden="1" x14ac:dyDescent="0.35">
      <c r="CE43" s="361"/>
      <c r="CF43" s="362"/>
      <c r="CG43" s="362"/>
      <c r="CH43" s="362"/>
      <c r="CI43" s="362"/>
      <c r="CJ43" s="362"/>
      <c r="CK43" s="362"/>
      <c r="CL43" s="362"/>
      <c r="CM43" s="362"/>
      <c r="CN43" s="362"/>
      <c r="CO43" s="362"/>
      <c r="CP43" s="363"/>
    </row>
    <row r="44" spans="83:94" hidden="1" x14ac:dyDescent="0.35"/>
    <row r="45" spans="83:94" hidden="1" x14ac:dyDescent="0.35"/>
  </sheetData>
  <mergeCells count="3">
    <mergeCell ref="A1:B1"/>
    <mergeCell ref="CE23:CG23"/>
    <mergeCell ref="CE38:CG3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AQ82"/>
  <sheetViews>
    <sheetView topLeftCell="X1" workbookViewId="0">
      <selection activeCell="CN55" sqref="CN55"/>
    </sheetView>
  </sheetViews>
  <sheetFormatPr defaultColWidth="14" defaultRowHeight="14.5" x14ac:dyDescent="0.35"/>
  <cols>
    <col min="1" max="41" width="14" customWidth="1"/>
    <col min="42" max="43" width="14" hidden="1" customWidth="1"/>
  </cols>
  <sheetData>
    <row r="1" spans="1:43" x14ac:dyDescent="0.35">
      <c r="A1" s="390">
        <v>71</v>
      </c>
      <c r="C1" s="391" t="s">
        <v>411</v>
      </c>
      <c r="E1" s="397">
        <f ca="1">IF(COUNT(E12:E300)=0,"-",AVERAGE(E12:OFFSET(E12,$A$1-1,0)))</f>
        <v>9450.6048929343397</v>
      </c>
      <c r="G1" s="397">
        <f ca="1">IF(COUNT(G12:G300)=0,"-",AVERAGE(G12:OFFSET(G12,$A$1-1,0)))</f>
        <v>3446.9780443409031</v>
      </c>
      <c r="I1" s="397">
        <f ca="1">IF(COUNT(I12:I300)=0,"-",AVERAGE(I12:OFFSET(I12,$A$1-1,0)))</f>
        <v>1515.4091953637615</v>
      </c>
      <c r="K1" s="397">
        <f ca="1">IF(COUNT(K12:K300)=0,"-",AVERAGE(K12:OFFSET(K12,$A$1-1,0)))</f>
        <v>72.78704536381224</v>
      </c>
      <c r="M1" s="397">
        <f ca="1">IF(COUNT(M12:M300)=0,"-",AVERAGE(M12:OFFSET(M12,$A$1-1,0)))</f>
        <v>13153.739959094521</v>
      </c>
      <c r="O1" s="397">
        <f ca="1">IF(COUNT(O12:O300)=0,"-",AVERAGE(O12:OFFSET(O12,$A$1-1,0)))</f>
        <v>179.86422889180145</v>
      </c>
      <c r="Q1" s="397">
        <f ca="1">IF(COUNT(Q12:Q300)=0,"-",AVERAGE(Q12:OFFSET(Q12,$A$1-1,0)))</f>
        <v>258.64741063992295</v>
      </c>
      <c r="S1" s="397">
        <f ca="1">IF(COUNT(S12:S300)=0,"-",AVERAGE(S12:OFFSET(S12,$A$1-1,0)))</f>
        <v>315.27999808777565</v>
      </c>
      <c r="U1" s="397">
        <f ca="1">IF(COUNT(U12:U300)=0,"-",AVERAGE(U12:OFFSET(U12,$A$1-1,0)))</f>
        <v>43.224619279839054</v>
      </c>
      <c r="W1" s="397">
        <f ca="1">IF(COUNT(W12:W300)=0,"-",AVERAGE(W12:OFFSET(W12,$A$1-1,0)))</f>
        <v>84.07793621593477</v>
      </c>
      <c r="Y1" s="397">
        <f ca="1">IF(COUNT(Y12:Y300)=0,"-",AVERAGE(Y12:OFFSET(Y12,$A$1-1,0)))</f>
        <v>137.58242125356068</v>
      </c>
      <c r="AA1" s="397">
        <f ca="1">IF(COUNT(AA12:AA300)=0,"-",AVERAGE(AA12:OFFSET(AA12,$A$1-1,0)))</f>
        <v>2701.1798516653903</v>
      </c>
      <c r="AC1" s="397">
        <f ca="1">IF(COUNT(AC12:AC300)=0,"-",AVERAGE(AC12:OFFSET(AC12,$A$1-1,0)))</f>
        <v>226.87040808183991</v>
      </c>
      <c r="AE1" s="397">
        <f ca="1">IF(COUNT(AE12:AE300)=0,"-",AVERAGE(AE12:OFFSET(AE12,$A$1-1,0)))</f>
        <v>64889.481899106693</v>
      </c>
      <c r="AG1" s="397">
        <f ca="1">IF(COUNT(AG12:AG300)=0,"-",AVERAGE(AG12:OFFSET(AG12,$A$1-1,0)))</f>
        <v>6865.0519031141866</v>
      </c>
      <c r="AI1" s="397">
        <f ca="1">IF(COUNT(AI12:AI300)=0,"-",AVERAGE(AI12:OFFSET(AI12,$A$1-1,0)))</f>
        <v>705.22072973357183</v>
      </c>
      <c r="AK1" s="397">
        <f ca="1">IF(COUNT(AK12:AK300)=0,"-",AVERAGE(AK12:OFFSET(AK12,$A$1-1,0)))</f>
        <v>2634.8131700619915</v>
      </c>
      <c r="AM1" s="397" t="str">
        <f ca="1">IF(COUNT(AM12:AM300)=0,"-",AVERAGE(AM12:OFFSET(AM12,$A$1-1,0)))</f>
        <v>-</v>
      </c>
      <c r="AO1" s="397">
        <f ca="1">IF(COUNT(AO12:AO300)=0,"-",AVERAGE(AO12:OFFSET(AO12,$A$1-1,0)))</f>
        <v>7044.7149621319259</v>
      </c>
      <c r="AQ1" s="397">
        <f ca="1">IF(COUNT(AQ12:AQ300)=0,"-",AVERAGE(AQ12:OFFSET(AQ12,$A$1-1,0)))</f>
        <v>22811.977048736357</v>
      </c>
    </row>
    <row r="2" spans="1:43" x14ac:dyDescent="0.35">
      <c r="C2" s="391" t="s">
        <v>412</v>
      </c>
      <c r="E2" s="397">
        <f ca="1">IF(COUNT(E12:E300)=0,"-",E1-(2*_xlfn.STDEV.P(E12:OFFSET(E12,$A$1-1,0))))</f>
        <v>-7011.3426449887138</v>
      </c>
      <c r="G2" s="397">
        <f ca="1">IF(COUNT(G12:G300)=0,"-",G1-(2*_xlfn.STDEV.P(G12:OFFSET(G12,$A$1-1,0))))</f>
        <v>-5528.0839966949079</v>
      </c>
      <c r="I2" s="397">
        <f ca="1">IF(COUNT(I12:I300)=0,"-",I1-(2*_xlfn.STDEV.P(I12:OFFSET(I12,$A$1-1,0))))</f>
        <v>-2640.1215768205548</v>
      </c>
      <c r="K2" s="397">
        <f ca="1">IF(COUNT(K12:K300)=0,"-",K1-(2*_xlfn.STDEV.P(K12:OFFSET(K12,$A$1-1,0))))</f>
        <v>-46.820513338422742</v>
      </c>
      <c r="M2" s="397">
        <f ca="1">IF(COUNT(M12:M300)=0,"-",M1-(2*_xlfn.STDEV.P(M12:OFFSET(M12,$A$1-1,0))))</f>
        <v>-10284.701934325109</v>
      </c>
      <c r="O2" s="397">
        <f ca="1">IF(COUNT(O12:O300)=0,"-",O1-(2*_xlfn.STDEV.P(O12:OFFSET(O12,$A$1-1,0))))</f>
        <v>-309.69454746393012</v>
      </c>
      <c r="Q2" s="397">
        <f ca="1">IF(COUNT(Q12:Q300)=0,"-",Q1-(2*_xlfn.STDEV.P(Q12:OFFSET(Q12,$A$1-1,0))))</f>
        <v>-383.86151617134186</v>
      </c>
      <c r="S2" s="397">
        <f ca="1">IF(COUNT(S12:S300)=0,"-",S1-(2*_xlfn.STDEV.P(S12:OFFSET(S12,$A$1-1,0))))</f>
        <v>-1696.4204211591132</v>
      </c>
      <c r="U2" s="397">
        <f ca="1">IF(COUNT(U12:U300)=0,"-",U1-(2*_xlfn.STDEV.P(U12:OFFSET(U12,$A$1-1,0))))</f>
        <v>-84.567619247011464</v>
      </c>
      <c r="W2" s="397">
        <f ca="1">IF(COUNT(W12:W300)=0,"-",W1-(2*_xlfn.STDEV.P(W12:OFFSET(W12,$A$1-1,0))))</f>
        <v>-207.2107950364836</v>
      </c>
      <c r="Y2" s="397">
        <f ca="1">IF(COUNT(Y12:Y300)=0,"-",Y1-(2*_xlfn.STDEV.P(Y12:OFFSET(Y12,$A$1-1,0))))</f>
        <v>103.67761580635275</v>
      </c>
      <c r="AA2" s="397">
        <f ca="1">IF(COUNT(AA12:AA300)=0,"-",AA1-(2*_xlfn.STDEV.P(AA12:OFFSET(AA12,$A$1-1,0))))</f>
        <v>-5880.4715128582175</v>
      </c>
      <c r="AC2" s="397">
        <f ca="1">IF(COUNT(AC12:AC300)=0,"-",AC1-(2*_xlfn.STDEV.P(AC12:OFFSET(AC12,$A$1-1,0))))</f>
        <v>-591.06903111356996</v>
      </c>
      <c r="AE2" s="397">
        <f ca="1">IF(COUNT(AE12:AE300)=0,"-",AE1-(2*_xlfn.STDEV.P(AE12:OFFSET(AE12,$A$1-1,0))))</f>
        <v>-409754.7148966816</v>
      </c>
      <c r="AG2" s="397">
        <f ca="1">IF(COUNT(AG12:AG300)=0,"-",AG1-(2*_xlfn.STDEV.P(AG12:OFFSET(AG12,$A$1-1,0))))</f>
        <v>6865.0519031141866</v>
      </c>
      <c r="AI2" s="397">
        <f ca="1">IF(COUNT(AI12:AI300)=0,"-",AI1-(2*_xlfn.STDEV.P(AI12:OFFSET(AI12,$A$1-1,0))))</f>
        <v>-900.78364611520362</v>
      </c>
      <c r="AK2" s="397">
        <f ca="1">IF(COUNT(AK12:AK300)=0,"-",AK1-(2*_xlfn.STDEV.P(AK12:OFFSET(AK12,$A$1-1,0))))</f>
        <v>-25159.622519701636</v>
      </c>
      <c r="AM2" s="397" t="str">
        <f ca="1">IF(COUNT(AM12:AM300)=0,"-",AM1-(2*_xlfn.STDEV.P(AM12:OFFSET(AM12,$A$1-1,0))))</f>
        <v>-</v>
      </c>
      <c r="AO2" s="397">
        <f ca="1">IF(COUNT(AO12:AO300)=0,"-",AO1-(2*_xlfn.STDEV.P(AO12:OFFSET(AO12,$A$1-1,0))))</f>
        <v>-20660.197154887675</v>
      </c>
      <c r="AQ2" s="397">
        <f ca="1">IF(COUNT(AQ12:AQ300)=0,"-",AQ1-(2*_xlfn.STDEV.P(AQ12:OFFSET(AQ12,$A$1-1,0))))</f>
        <v>-210889.09100886327</v>
      </c>
    </row>
    <row r="3" spans="1:43" x14ac:dyDescent="0.35">
      <c r="A3" s="948" t="s">
        <v>413</v>
      </c>
      <c r="C3" s="391" t="s">
        <v>414</v>
      </c>
      <c r="E3" s="397">
        <f ca="1">IF(COUNT(E12:E300)=0,"-",E1+(2*_xlfn.STDEV.P(E12:OFFSET(E12,$A$1-1,0))))</f>
        <v>25912.552430857395</v>
      </c>
      <c r="G3" s="397">
        <f ca="1">IF(COUNT(G12:G300)=0,"-",G1+(2*_xlfn.STDEV.P(G12:OFFSET(G12,$A$1-1,0))))</f>
        <v>12422.040085376715</v>
      </c>
      <c r="I3" s="397">
        <f ca="1">IF(COUNT(I12:I300)=0,"-",I1+(2*_xlfn.STDEV.P(I12:OFFSET(I12,$A$1-1,0))))</f>
        <v>5670.9399675480781</v>
      </c>
      <c r="K3" s="397">
        <f ca="1">IF(COUNT(K12:K300)=0,"-",K1+(2*_xlfn.STDEV.P(K12:OFFSET(K12,$A$1-1,0))))</f>
        <v>192.39460406604724</v>
      </c>
      <c r="M3" s="397">
        <f ca="1">IF(COUNT(M12:M300)=0,"-",M1+(2*_xlfn.STDEV.P(M12:OFFSET(M12,$A$1-1,0))))</f>
        <v>36592.18185251415</v>
      </c>
      <c r="O3" s="397">
        <f ca="1">IF(COUNT(O12:O300)=0,"-",O1+(2*_xlfn.STDEV.P(O12:OFFSET(O12,$A$1-1,0))))</f>
        <v>669.42300524753307</v>
      </c>
      <c r="Q3" s="397">
        <f ca="1">IF(COUNT(Q12:Q300)=0,"-",Q1+(2*_xlfn.STDEV.P(Q12:OFFSET(Q12,$A$1-1,0))))</f>
        <v>901.15633745118771</v>
      </c>
      <c r="S3" s="397">
        <f ca="1">IF(COUNT(S12:S300)=0,"-",S1+(2*_xlfn.STDEV.P(S12:OFFSET(S12,$A$1-1,0))))</f>
        <v>2326.9804173346643</v>
      </c>
      <c r="U3" s="397">
        <f ca="1">IF(COUNT(U12:U300)=0,"-",U1+(2*_xlfn.STDEV.P(U12:OFFSET(U12,$A$1-1,0))))</f>
        <v>171.01685780668959</v>
      </c>
      <c r="W3" s="397">
        <f ca="1">IF(COUNT(W12:W300)=0,"-",W1+(2*_xlfn.STDEV.P(W12:OFFSET(W12,$A$1-1,0))))</f>
        <v>375.36666746835311</v>
      </c>
      <c r="Y3" s="397">
        <f ca="1">IF(COUNT(Y12:Y300)=0,"-",Y1+(2*_xlfn.STDEV.P(Y12:OFFSET(Y12,$A$1-1,0))))</f>
        <v>171.48722670076862</v>
      </c>
      <c r="AA3" s="397">
        <f ca="1">IF(COUNT(AA12:AA300)=0,"-",AA1+(2*_xlfn.STDEV.P(AA12:OFFSET(AA12,$A$1-1,0))))</f>
        <v>11282.831216188999</v>
      </c>
      <c r="AC3" s="397">
        <f ca="1">IF(COUNT(AC12:AC300)=0,"-",AC1+(2*_xlfn.STDEV.P(AC12:OFFSET(AC12,$A$1-1,0))))</f>
        <v>1044.8098472772499</v>
      </c>
      <c r="AE3" s="397">
        <f ca="1">IF(COUNT(AE12:AE300)=0,"-",AE1+(2*_xlfn.STDEV.P(AE12:OFFSET(AE12,$A$1-1,0))))</f>
        <v>539533.678694895</v>
      </c>
      <c r="AG3" s="397">
        <f ca="1">IF(COUNT(AG12:AG300)=0,"-",AG1+(2*_xlfn.STDEV.P(AG12:OFFSET(AG12,$A$1-1,0))))</f>
        <v>6865.0519031141866</v>
      </c>
      <c r="AI3" s="397">
        <f ca="1">IF(COUNT(AI12:AI300)=0,"-",AI1+(2*_xlfn.STDEV.P(AI12:OFFSET(AI12,$A$1-1,0))))</f>
        <v>2311.2251055823472</v>
      </c>
      <c r="AK3" s="397">
        <f ca="1">IF(COUNT(AK12:AK300)=0,"-",AK1+(2*_xlfn.STDEV.P(AK12:OFFSET(AK12,$A$1-1,0))))</f>
        <v>30429.24885982562</v>
      </c>
      <c r="AM3" s="397" t="str">
        <f ca="1">IF(COUNT(AM12:AM300)=0,"-",AM1+(2*_xlfn.STDEV.P(AM12:OFFSET(AM12,$A$1-1,0))))</f>
        <v>-</v>
      </c>
      <c r="AO3" s="397">
        <f ca="1">IF(COUNT(AO12:AO300)=0,"-",AO1+(2*_xlfn.STDEV.P(AO12:OFFSET(AO12,$A$1-1,0))))</f>
        <v>34749.627079151527</v>
      </c>
      <c r="AQ3" s="397">
        <f ca="1">IF(COUNT(AQ12:AQ300)=0,"-",AQ1+(2*_xlfn.STDEV.P(AQ12:OFFSET(AQ12,$A$1-1,0))))</f>
        <v>256513.04510633598</v>
      </c>
    </row>
    <row r="4" spans="1:43" x14ac:dyDescent="0.35">
      <c r="A4" s="948"/>
      <c r="C4" s="391" t="s">
        <v>415</v>
      </c>
      <c r="E4" s="398">
        <f ca="1">IF(COUNT(E12:E300)=0,"-",AVERAGEIFS(E12:E300, E12:E300, "&gt;="&amp;E2,E12:E300,"&lt;="&amp;E3))</f>
        <v>8207.9277200824763</v>
      </c>
      <c r="G4" s="398">
        <f ca="1">IF(COUNT(G12:G300)=0,"-",AVERAGEIFS(G12:G300, G12:G300, "&gt;="&amp;G2,G12:G300,"&lt;="&amp;G3))</f>
        <v>2574.8558641899563</v>
      </c>
      <c r="I4" s="398">
        <f ca="1">IF(COUNT(I12:I300)=0,"-",AVERAGEIFS(I12:I300, I12:I300, "&gt;="&amp;I2,I12:I300,"&lt;="&amp;I3))</f>
        <v>840.84042328090163</v>
      </c>
      <c r="K4" s="398">
        <f ca="1">IF(COUNT(K12:K300)=0,"-",AVERAGEIFS(K12:K300, K12:K300, "&gt;="&amp;K2,K12:K300,"&lt;="&amp;K3))</f>
        <v>72.78704536381224</v>
      </c>
      <c r="M4" s="398">
        <f ca="1">IF(COUNT(M12:M300)=0,"-",AVERAGEIFS(M12:M300, M12:M300, "&gt;="&amp;M2,M12:M300,"&lt;="&amp;M3))</f>
        <v>13153.739959094521</v>
      </c>
      <c r="O4" s="398">
        <f ca="1">IF(COUNT(O12:O300)=0,"-",AVERAGEIFS(O12:O300, O12:O300, "&gt;="&amp;O2,O12:O300,"&lt;="&amp;O3))</f>
        <v>135.58704107596435</v>
      </c>
      <c r="Q4" s="398">
        <f ca="1">IF(COUNT(Q12:Q300)=0,"-",AVERAGEIFS(Q12:Q300, Q12:Q300, "&gt;="&amp;Q2,Q12:Q300,"&lt;="&amp;Q3))</f>
        <v>197.78948466336703</v>
      </c>
      <c r="S4" s="398">
        <f ca="1">IF(COUNT(S12:S300)=0,"-",AVERAGEIFS(S12:S300, S12:S300, "&gt;="&amp;S2,S12:S300,"&lt;="&amp;S3))</f>
        <v>84.771191832194759</v>
      </c>
      <c r="U4" s="398">
        <f ca="1">IF(COUNT(U12:U300)=0,"-",AVERAGEIFS(U12:U300, U12:U300, "&gt;="&amp;U2,U12:U300,"&lt;="&amp;U3))</f>
        <v>25.344688723595382</v>
      </c>
      <c r="W4" s="398">
        <f ca="1">IF(COUNT(W12:W300)=0,"-",AVERAGEIFS(W12:W300, W12:W300, "&gt;="&amp;W2,W12:W300,"&lt;="&amp;W3))</f>
        <v>31.439017382906265</v>
      </c>
      <c r="Y4" s="398">
        <f ca="1">IF(COUNT(Y12:Y300)=0,"-",AVERAGEIFS(Y12:Y300, Y12:Y300, "&gt;="&amp;Y2,Y12:Y300,"&lt;="&amp;Y3))</f>
        <v>137.58242125356068</v>
      </c>
      <c r="AA4" s="398">
        <f ca="1">IF(COUNT(AA12:AA300)=0,"-",AVERAGEIFS(AA12:AA300, AA12:AA300, "&gt;="&amp;AA2,AA12:AA300,"&lt;="&amp;AA3))</f>
        <v>1652.0260342002161</v>
      </c>
      <c r="AC4" s="398">
        <f ca="1">IF(COUNT(AC12:AC300)=0,"-",AVERAGEIFS(AC12:AC300, AC12:AC300, "&gt;="&amp;AC2,AC12:AC300,"&lt;="&amp;AC3))</f>
        <v>226.87040808183991</v>
      </c>
      <c r="AE4" s="398">
        <f ca="1">IF(COUNT(AE12:AE300)=0,"-",AVERAGEIFS(AE12:AE300, AE12:AE300, "&gt;="&amp;AE2,AE12:AE300,"&lt;="&amp;AE3))</f>
        <v>1465.6706317406383</v>
      </c>
      <c r="AG4" s="398">
        <f ca="1">IF(COUNT(AG12:AG300)=0,"-",AVERAGEIFS(AG12:AG300, AG12:AG300, "&gt;="&amp;AG2,AG12:AG300,"&lt;="&amp;AG3))</f>
        <v>6865.0519031141866</v>
      </c>
      <c r="AI4" s="398">
        <f ca="1">IF(COUNT(AI12:AI300)=0,"-",AVERAGEIFS(AI12:AI300, AI12:AI300, "&gt;="&amp;AI2,AI12:AI300,"&lt;="&amp;AI3))</f>
        <v>372.75072531353811</v>
      </c>
      <c r="AK4" s="398">
        <f ca="1">IF(COUNT(AK12:AK300)=0,"-",AVERAGEIFS(AK12:AK300, AK12:AK300, "&gt;="&amp;AK2,AK12:AK300,"&lt;="&amp;AK3))</f>
        <v>814.52263227932076</v>
      </c>
      <c r="AM4" s="398" t="str">
        <f>IF(COUNT(AM12:AM300)=0,"-",AVERAGEIFS(AM12:AM300, AM12:AM300, "&gt;="&amp;AM2,AM12:AM300,"&lt;="&amp;AM3))</f>
        <v>-</v>
      </c>
      <c r="AO4" s="398">
        <f ca="1">IF(COUNT(AO12:AO300)=0,"-",AVERAGEIFS(AO12:AO300, AO12:AO300, "&gt;="&amp;AO2,AO12:AO300,"&lt;="&amp;AO3))</f>
        <v>4293.2705992744268</v>
      </c>
      <c r="AQ4" s="398">
        <f ca="1">IF(COUNT(AQ12:AQ300)=0,"-",AVERAGEIFS(AQ12:AQ300, AQ12:AQ300, "&gt;="&amp;AQ2,AQ12:AQ300,"&lt;="&amp;AQ3))</f>
        <v>8443.6401177134467</v>
      </c>
    </row>
    <row r="5" spans="1:43" x14ac:dyDescent="0.35">
      <c r="A5" s="948"/>
      <c r="C5" s="391" t="s">
        <v>416</v>
      </c>
      <c r="E5" s="408">
        <f ca="1">IF(COUNT(E12:E300)=0,"-",SUMIFS(D12:D300,E12:E300,"&gt;="&amp;E2,E12:E300,"&lt;="&amp;E3)/SUMIFS($B12:$B300,E12:E300,"&gt;="&amp;E2,E12:E300,"&lt;="&amp;E3))</f>
        <v>8516.4863039663633</v>
      </c>
      <c r="G5" s="399">
        <f ca="1">IF(COUNT(G12:G300)=0,"-",SUMIFS(F12:F300,G12:G300,"&gt;="&amp;G2,G12:G300,"&lt;="&amp;G3)/SUMIFS($B12:$B300,G12:G300,"&gt;="&amp;G2,G12:G300,"&lt;="&amp;G3))</f>
        <v>1194.1375453833637</v>
      </c>
      <c r="I5" s="399">
        <f ca="1">IF(COUNT(I12:I300)=0,"-",SUMIFS(H12:H300,I12:I300,"&gt;="&amp;I2,I12:I300,"&lt;="&amp;I3)/SUMIFS($B12:$B300,I12:I300,"&gt;="&amp;I2,I12:I300,"&lt;="&amp;I3))</f>
        <v>168.32653109754594</v>
      </c>
      <c r="K5" s="399">
        <f ca="1">IF(COUNT(K12:K300)=0,"-",SUMIFS(J12:J300,K12:K300,"&gt;="&amp;K2,K12:K300,"&lt;="&amp;K3)/SUMIFS($B12:$B300,K12:K300,"&gt;="&amp;K2,K12:K300,"&lt;="&amp;K3))</f>
        <v>124.08144833531756</v>
      </c>
      <c r="M5" s="399">
        <f ca="1">IF(COUNT(M12:M300)=0,"-",SUMIFS(L12:L300,M12:M300,"&gt;="&amp;M2,M12:M300,"&lt;="&amp;M3)/SUMIFS($B12:$B300,M12:M300,"&gt;="&amp;M2,M12:M300,"&lt;="&amp;M3))</f>
        <v>5785.929172095226</v>
      </c>
      <c r="O5" s="399">
        <f ca="1">IF(COUNT(O12:O300)=0,"-",SUMIFS(N12:N300,O12:O300,"&gt;="&amp;O2,O12:O300,"&lt;="&amp;O3)/SUMIFS($B12:$B300,O12:O300,"&gt;="&amp;O2,O12:O300,"&lt;="&amp;O3))</f>
        <v>126.80597594266183</v>
      </c>
      <c r="Q5" s="408">
        <f ca="1">IF(COUNT(Q12:Q300)=0,"-",SUMIFS(P12:P300,Q12:Q300,"&gt;="&amp;Q2,Q12:Q300,"&lt;="&amp;Q3)/SUMIFS($B12:$B300,Q12:Q300,"&gt;="&amp;Q2,Q12:Q300,"&lt;="&amp;Q3))</f>
        <v>208.78807092118902</v>
      </c>
      <c r="S5" s="399">
        <f ca="1">IF(COUNT(S12:S300)=0,"-",SUMIFS(R12:R300,S12:S300,"&gt;="&amp;S2,S12:S300,"&lt;="&amp;S3)/SUMIFS($B12:$B300,S12:S300,"&gt;="&amp;S2,S12:S300,"&lt;="&amp;S3))</f>
        <v>58.015366257423622</v>
      </c>
      <c r="U5" s="399">
        <f ca="1">IF(COUNT(U12:U300)=0,"-",SUMIFS(T12:T300,U12:U300,"&gt;="&amp;U2,U12:U300,"&lt;="&amp;U3)/SUMIFS($B12:$B300,U12:U300,"&gt;="&amp;U2,U12:U300,"&lt;="&amp;U3))</f>
        <v>23.759208646499776</v>
      </c>
      <c r="W5" s="399">
        <f ca="1">IF(COUNT(W12:W300)=0,"-",SUMIFS(V12:V300,W12:W300,"&gt;="&amp;W2,W12:W300,"&lt;="&amp;W3)/SUMIFS($B12:$B300,W12:W300,"&gt;="&amp;W2,W12:W300,"&lt;="&amp;W3))</f>
        <v>83.913587774639439</v>
      </c>
      <c r="Y5" s="399">
        <f ca="1">IF(COUNT(Y12:Y300)=0,"-",SUMIFS(X12:X300,Y12:Y300,"&gt;="&amp;Y2,Y12:Y300,"&lt;="&amp;Y3)/SUMIFS($B12:$B300,Y12:Y300,"&gt;="&amp;Y2,Y12:Y300,"&lt;="&amp;Y3))</f>
        <v>150.00915162008411</v>
      </c>
      <c r="AA5" s="399">
        <f ca="1">IF(COUNT(AA12:AA300)=0,"-",SUMIFS(Z12:Z300,AA12:AA300,"&gt;="&amp;AA2,AA12:AA300,"&lt;="&amp;AA3)/SUMIFS($B12:$B300,AA12:AA300,"&gt;="&amp;AA2,AA12:AA300,"&lt;="&amp;AA3))</f>
        <v>615.68223474771082</v>
      </c>
      <c r="AC5" s="399">
        <f ca="1">IF(COUNT(AC12:AC300)=0,"-",SUMIFS(AB12:AB300,AC12:AC300,"&gt;="&amp;AC2,AC12:AC300,"&lt;="&amp;AC3)/SUMIFS($B12:$B300,AC12:AC300,"&gt;="&amp;AC2,AC12:AC300,"&lt;="&amp;AC3))</f>
        <v>466.99839770033674</v>
      </c>
      <c r="AE5" s="399">
        <f ca="1">IF(COUNT(AE12:AE300)=0,"-",SUMIFS(AD12:AD300,AE12:AE300,"&gt;="&amp;AE2,AE12:AE300,"&lt;="&amp;AE3)/SUMIFS($B12:$B300,AE12:AE300,"&gt;="&amp;AE2,AE12:AE300,"&lt;="&amp;AE3))</f>
        <v>268.8655993598195</v>
      </c>
      <c r="AG5" s="399">
        <f ca="1">IF(COUNT(AG12:AG300)=0,"-",SUMIFS(AF12:AF300,AG12:AG300,"&gt;="&amp;AG2,AG12:AG300,"&lt;="&amp;AG3)/SUMIFS($B12:$B300,AG12:AG300,"&gt;="&amp;AG2,AG12:AG300,"&lt;="&amp;AG3))</f>
        <v>6865.0519031141866</v>
      </c>
      <c r="AI5" s="399">
        <f ca="1">IF(COUNT(AI12:AI300)=0,"-",SUMIFS(AH12:AH300,AI12:AI300,"&gt;="&amp;AI2,AI12:AI300,"&lt;="&amp;AI3)/SUMIFS($B12:$B300,AI12:AI300,"&gt;="&amp;AI2,AI12:AI300,"&lt;="&amp;AI3))</f>
        <v>602.58998637081845</v>
      </c>
      <c r="AK5" s="399">
        <f ca="1">IF(COUNT(AK12:AK300)=0,"-",SUMIFS(AJ12:AJ300,AK12:AK300,"&gt;="&amp;AK2,AK12:AK300,"&lt;="&amp;AK3)/SUMIFS($B12:$B300,AK12:AK300,"&gt;="&amp;AK2,AK12:AK300,"&lt;="&amp;AK3))</f>
        <v>485.30928430619178</v>
      </c>
      <c r="AM5" s="399" t="str">
        <f>IF(COUNT(AM12:AM300)=0,"-",SUMIFS(AL12:AL300,AM12:AM300,"&gt;="&amp;AM2,AM12:AM300,"&lt;="&amp;AM3)/SUMIFS($B12:$B300,AM12:AM300,"&gt;="&amp;AM2,AM12:AM300,"&lt;="&amp;AM3))</f>
        <v>-</v>
      </c>
      <c r="AO5" s="408">
        <f ca="1">IF(COUNT(AO12:AO300)=0,"-",SUMIFS(AN12:AN300,AO12:AO300,"&gt;="&amp;AO2,AO12:AO300,"&lt;="&amp;AO3)/SUMIFS($B12:$B300,AO12:AO300,"&gt;="&amp;AO2,AO12:AO300,"&lt;="&amp;AO3))</f>
        <v>3410.6245791447127</v>
      </c>
      <c r="AQ5" s="399">
        <f ca="1">IF(COUNT(AQ12:AQ300)=0,"-",SUMIFS(AP12:AP300,AQ12:AQ300,"&gt;="&amp;AQ2,AQ12:AQ300,"&lt;="&amp;AQ3)/SUMIFS($B12:$B300,AQ12:AQ300,"&gt;="&amp;AQ2,AQ12:AQ300,"&lt;="&amp;AQ3))</f>
        <v>8015.7482656060647</v>
      </c>
    </row>
    <row r="6" spans="1:43" x14ac:dyDescent="0.35">
      <c r="A6" s="948"/>
      <c r="C6" s="391" t="s">
        <v>417</v>
      </c>
      <c r="E6" s="400">
        <f ca="1">IF(COUNT(E12:E300)=0,"-",SUMIFS(E12:E300, E12:E300, "&gt;="&amp;E2,E12:E300,"&lt;="&amp;E3)/($A$1-COUNTIF(E12:E300,"&lt;"&amp;E$2)-COUNTIF(E12:E300,"&gt;"&amp;E$3)))</f>
        <v>7362.993984191633</v>
      </c>
      <c r="G6" s="400">
        <f ca="1">IF(COUNT(G12:G300)=0,"-",SUMIFS(G12:G300, G12:G300, "&gt;="&amp;G2,G12:G300,"&lt;="&amp;G3)/($A$1-COUNTIF(G12:G300,"&lt;"&amp;G$2)-COUNTIF(G12:G300,"&gt;"&amp;G$3)))</f>
        <v>1119.502549647807</v>
      </c>
      <c r="I6" s="400">
        <f ca="1">IF(COUNT(I12:I300)=0,"-",SUMIFS(I12:I300, I12:I300, "&gt;="&amp;I2,I12:I300,"&lt;="&amp;I3)/($A$1-COUNTIF(I12:I300,"&lt;"&amp;I$2)-COUNTIF(I12:I300,"&gt;"&amp;I$3)))</f>
        <v>96.096048374960191</v>
      </c>
      <c r="K6" s="400">
        <f ca="1">IF(COUNT(K12:K300)=0,"-",SUMIFS(K12:K300, K12:K300, "&gt;="&amp;K2,K12:K300,"&lt;="&amp;K3)/($A$1-COUNTIF(K12:K300,"&lt;"&amp;K$2)-COUNTIF(K12:K300,"&gt;"&amp;K$3)))</f>
        <v>2.0503393060228801</v>
      </c>
      <c r="M6" s="400">
        <f ca="1">IF(COUNT(M12:M300)=0,"-",SUMIFS(M12:M300, M12:M300, "&gt;="&amp;M2,M12:M300,"&lt;="&amp;M3)/($A$1-COUNTIF(M12:M300,"&lt;"&amp;M$2)-COUNTIF(M12:M300,"&gt;"&amp;M$3)))</f>
        <v>555.79182925751491</v>
      </c>
      <c r="O6" s="400">
        <f ca="1">IF(COUNT(O12:O300)=0,"-",SUMIFS(O12:O300, O12:O300, "&gt;="&amp;O2,O12:O300,"&lt;="&amp;O3)/($A$1-COUNTIF(O12:O300,"&lt;"&amp;O$2)-COUNTIF(O12:O300,"&gt;"&amp;O$3)))</f>
        <v>82.531242394065259</v>
      </c>
      <c r="Q6" s="400">
        <f ca="1">IF(COUNT(Q12:Q300)=0,"-",SUMIFS(Q12:Q300, Q12:Q300, "&gt;="&amp;Q2,Q12:Q300,"&lt;="&amp;Q3)/($A$1-COUNTIF(Q12:Q300,"&lt;"&amp;Q$2)-COUNTIF(Q12:Q300,"&gt;"&amp;Q$3)))</f>
        <v>125.07276236065857</v>
      </c>
      <c r="S6" s="400">
        <f ca="1">IF(COUNT(S12:S300)=0,"-",SUMIFS(S12:S300, S12:S300, "&gt;="&amp;S2,S12:S300,"&lt;="&amp;S3)/($A$1-COUNTIF(S12:S300,"&lt;"&amp;S$2)-COUNTIF(S12:S300,"&gt;"&amp;S$3)))</f>
        <v>41.771311917313362</v>
      </c>
      <c r="U6" s="400">
        <f ca="1">IF(COUNT(U12:U300)=0,"-",SUMIFS(U12:U300, U12:U300, "&gt;="&amp;U2,U12:U300,"&lt;="&amp;U3)/($A$1-COUNTIF(U12:U300,"&lt;"&amp;U$2)-COUNTIF(U12:U300,"&gt;"&amp;U$3)))</f>
        <v>3.9827367994221317</v>
      </c>
      <c r="W6" s="400">
        <f ca="1">IF(COUNT(W12:W300)=0,"-",SUMIFS(W12:W300, W12:W300, "&gt;="&amp;W2,W12:W300,"&lt;="&amp;W3)/($A$1-COUNTIF(W12:W300,"&lt;"&amp;W$2)-COUNTIF(W12:W300,"&gt;"&amp;W$3)))</f>
        <v>5.923293130112774</v>
      </c>
      <c r="Y6" s="400">
        <f ca="1">IF(COUNT(Y12:Y300)=0,"-",SUMIFS(Y12:Y300, Y12:Y300, "&gt;="&amp;Y2,Y12:Y300,"&lt;="&amp;Y3)/($A$1-COUNTIF(Y12:Y300,"&lt;"&amp;Y$2)-COUNTIF(Y12:Y300,"&gt;"&amp;Y$3)))</f>
        <v>3.875561162072132</v>
      </c>
      <c r="AA6" s="400">
        <f ca="1">IF(COUNT(AA12:AA300)=0,"-",SUMIFS(AA12:AA300, AA12:AA300, "&gt;="&amp;AA2,AA12:AA300,"&lt;="&amp;AA3)/($A$1-COUNTIF(AA12:AA300,"&lt;"&amp;AA$2)-COUNTIF(AA12:AA300,"&gt;"&amp;AA$3)))</f>
        <v>502.79053214789189</v>
      </c>
      <c r="AC6" s="400">
        <f ca="1">IF(COUNT(AC12:AC300)=0,"-",SUMIFS(AC12:AC300, AC12:AC300, "&gt;="&amp;AC2,AC12:AC300,"&lt;="&amp;AC3)/($A$1-COUNTIF(AC12:AC300,"&lt;"&amp;AC$2)-COUNTIF(AC12:AC300,"&gt;"&amp;AC$3)))</f>
        <v>15.976789301538023</v>
      </c>
      <c r="AE6" s="400">
        <f ca="1">IF(COUNT(AE12:AE300)=0,"-",SUMIFS(AE12:AE300, AE12:AE300, "&gt;="&amp;AE2,AE12:AE300,"&lt;="&amp;AE3)/($A$1-COUNTIF(AE12:AE300,"&lt;"&amp;AE$2)-COUNTIF(AE12:AE300,"&gt;"&amp;AE$3)))</f>
        <v>293.13412634812767</v>
      </c>
      <c r="AG6" s="400">
        <f ca="1">IF(COUNT(AG12:AG300)=0,"-",SUMIFS(AG12:AG300, AG12:AG300, "&gt;="&amp;AG2,AG12:AG300,"&lt;="&amp;AG3)/($A$1-COUNTIF(AG12:AG300,"&lt;"&amp;AG$2)-COUNTIF(AG12:AG300,"&gt;"&amp;AG$3)))</f>
        <v>96.690871874847701</v>
      </c>
      <c r="AI6" s="400">
        <f ca="1">IF(COUNT(AI12:AI300)=0,"-",SUMIFS(AI12:AI300, AI12:AI300, "&gt;="&amp;AI2,AI12:AI300,"&lt;="&amp;AI3)/($A$1-COUNTIF(AI12:AI300,"&lt;"&amp;AI$2)-COUNTIF(AI12:AI300,"&gt;"&amp;AI$3)))</f>
        <v>26.625051808109866</v>
      </c>
      <c r="AK6" s="400">
        <f ca="1">IF(COUNT(AK12:AK300)=0,"-",SUMIFS(AK12:AK300, AK12:AK300, "&gt;="&amp;AK2,AK12:AK300,"&lt;="&amp;AK3)/($A$1-COUNTIF(AK12:AK300,"&lt;"&amp;AK$2)-COUNTIF(AK12:AK300,"&gt;"&amp;AK$3)))</f>
        <v>674.89018103143724</v>
      </c>
      <c r="AM6" s="400" t="str">
        <f>IF(COUNT(AM12:AM300)=0,"-",SUMIFS(AM12:AM300, AM12:AM300, "&gt;="&amp;AM2,AM12:AM300,"&lt;="&amp;AM3)/($A$1-COUNTIF(AM12:AM300,"&lt;"&amp;AM$2)-COUNTIF(AM12:AM300,"&gt;"&amp;AM$3)))</f>
        <v>-</v>
      </c>
      <c r="AO6" s="400">
        <f ca="1">IF(COUNT(AO12:AO300)=0,"-",SUMIFS(AO12:AO300, AO12:AO300, "&gt;="&amp;AO2,AO12:AO300,"&lt;="&amp;AO3)/($A$1-COUNTIF(AO12:AO300,"&lt;"&amp;AO$2)-COUNTIF(AO12:AO300,"&gt;"&amp;AO$3)))</f>
        <v>858.65411985488538</v>
      </c>
      <c r="AQ6" s="400">
        <f ca="1">IF(COUNT(AQ12:AQ300)=0,"-",SUMIFS(AQ12:AQ300, AQ12:AQ300, "&gt;="&amp;AQ2,AQ12:AQ300,"&lt;="&amp;AQ3)/($A$1-COUNTIF(AQ12:AQ300,"&lt;"&amp;AQ$2)-COUNTIF(AQ12:AQ300,"&gt;"&amp;AQ$3)))</f>
        <v>7840.5229664482013</v>
      </c>
    </row>
    <row r="9" spans="1:43" x14ac:dyDescent="0.35">
      <c r="D9" s="394" t="s">
        <v>436</v>
      </c>
      <c r="E9" s="401"/>
      <c r="F9" s="394" t="s">
        <v>437</v>
      </c>
      <c r="G9" s="401"/>
      <c r="H9" s="394" t="s">
        <v>438</v>
      </c>
      <c r="I9" s="401"/>
      <c r="J9" s="394" t="s">
        <v>439</v>
      </c>
      <c r="K9" s="401"/>
      <c r="L9" s="394" t="s">
        <v>440</v>
      </c>
      <c r="M9" s="401"/>
      <c r="N9" s="394" t="s">
        <v>441</v>
      </c>
      <c r="O9" s="401"/>
      <c r="P9" s="394" t="s">
        <v>442</v>
      </c>
      <c r="Q9" s="401"/>
      <c r="R9" s="394" t="s">
        <v>443</v>
      </c>
      <c r="S9" s="401"/>
      <c r="T9" s="394" t="s">
        <v>444</v>
      </c>
      <c r="U9" s="401"/>
      <c r="V9" s="394" t="s">
        <v>445</v>
      </c>
      <c r="W9" s="401"/>
      <c r="X9" s="394" t="s">
        <v>446</v>
      </c>
      <c r="Y9" s="401"/>
      <c r="Z9" s="394" t="s">
        <v>447</v>
      </c>
      <c r="AA9" s="401"/>
      <c r="AB9" s="394" t="s">
        <v>448</v>
      </c>
      <c r="AC9" s="401"/>
      <c r="AD9" s="394" t="s">
        <v>449</v>
      </c>
      <c r="AE9" s="401"/>
      <c r="AF9" s="394" t="s">
        <v>450</v>
      </c>
      <c r="AG9" s="401"/>
      <c r="AH9" s="394" t="s">
        <v>451</v>
      </c>
      <c r="AI9" s="401"/>
      <c r="AJ9" s="394" t="s">
        <v>452</v>
      </c>
      <c r="AK9" s="401"/>
      <c r="AL9" s="394" t="s">
        <v>453</v>
      </c>
      <c r="AM9" s="401"/>
      <c r="AN9" s="394" t="s">
        <v>454</v>
      </c>
      <c r="AO9" s="401"/>
      <c r="AP9" s="394" t="s">
        <v>455</v>
      </c>
      <c r="AQ9" s="401"/>
    </row>
    <row r="10" spans="1:43" ht="72.5" x14ac:dyDescent="0.35">
      <c r="A10" s="392"/>
      <c r="B10" s="393"/>
      <c r="D10" s="402" t="s">
        <v>456</v>
      </c>
      <c r="E10" s="403" t="str">
        <f>D10&amp;"
per FTE"</f>
        <v>Total Occupancy
per FTE</v>
      </c>
      <c r="F10" s="402" t="s">
        <v>457</v>
      </c>
      <c r="G10" s="403" t="str">
        <f>F10&amp;"
per FTE"</f>
        <v>Direct Care Consultant 201
per FTE</v>
      </c>
      <c r="H10" s="402" t="s">
        <v>458</v>
      </c>
      <c r="I10" s="403" t="str">
        <f>H10&amp;"
per FTE"</f>
        <v>Temporary Help 202
per FTE</v>
      </c>
      <c r="J10" s="402" t="s">
        <v>459</v>
      </c>
      <c r="K10" s="403" t="str">
        <f>J10&amp;"
per FTE"</f>
        <v>Clients and Caregivers Reimb./Stipends 203
per FTE</v>
      </c>
      <c r="L10" s="402" t="s">
        <v>460</v>
      </c>
      <c r="M10" s="403" t="str">
        <f>L10&amp;"
per FTE"</f>
        <v>Subcontracted Direct Care 206
per FTE</v>
      </c>
      <c r="N10" s="402" t="s">
        <v>461</v>
      </c>
      <c r="O10" s="403" t="str">
        <f>N10&amp;"
per FTE"</f>
        <v>Staff Training 204
per FTE</v>
      </c>
      <c r="P10" s="402" t="s">
        <v>462</v>
      </c>
      <c r="Q10" s="403" t="str">
        <f>P10&amp;"
per FTE"</f>
        <v>Staff Mileage / Travel 205
per FTE</v>
      </c>
      <c r="R10" s="402" t="s">
        <v>463</v>
      </c>
      <c r="S10" s="403" t="str">
        <f>R10&amp;"
per FTE"</f>
        <v>Meals 207
per FTE</v>
      </c>
      <c r="T10" s="402" t="s">
        <v>464</v>
      </c>
      <c r="U10" s="403" t="str">
        <f>T10&amp;"
per FTE"</f>
        <v>Client Transportation 208
per FTE</v>
      </c>
      <c r="V10" s="402" t="s">
        <v>465</v>
      </c>
      <c r="W10" s="403" t="str">
        <f>V10&amp;"
per FTE"</f>
        <v>Vehicle Expenses 208
per FTE</v>
      </c>
      <c r="X10" s="402" t="s">
        <v>466</v>
      </c>
      <c r="Y10" s="403" t="str">
        <f>X10&amp;"
per FTE"</f>
        <v>Vehicle Depreciation 208
per FTE</v>
      </c>
      <c r="Z10" s="402" t="s">
        <v>467</v>
      </c>
      <c r="AA10" s="403" t="str">
        <f>Z10&amp;"
per FTE"</f>
        <v>Incidental Medical /Medicine/Pharmacy 209
per FTE</v>
      </c>
      <c r="AB10" s="402" t="s">
        <v>468</v>
      </c>
      <c r="AC10" s="403" t="str">
        <f>AB10&amp;"
per FTE"</f>
        <v>Client Personal Allowances 211
per FTE</v>
      </c>
      <c r="AD10" s="402" t="s">
        <v>469</v>
      </c>
      <c r="AE10" s="403" t="str">
        <f>AD10&amp;"
per FTE"</f>
        <v>Provision Material Goods/Svs./Benefits 212
per FTE</v>
      </c>
      <c r="AF10" s="402" t="s">
        <v>470</v>
      </c>
      <c r="AG10" s="403" t="str">
        <f>AF10&amp;"
per FTE"</f>
        <v>Direct Client Wages 214
per FTE</v>
      </c>
      <c r="AH10" s="402" t="s">
        <v>471</v>
      </c>
      <c r="AI10" s="403" t="str">
        <f>AH10&amp;"
per FTE"</f>
        <v>Other Commercial Prod. &amp; Svs. 214
per FTE</v>
      </c>
      <c r="AJ10" s="402" t="s">
        <v>472</v>
      </c>
      <c r="AK10" s="403" t="str">
        <f>AJ10&amp;"
per FTE"</f>
        <v>Program Supplies &amp; Materials 215
per FTE</v>
      </c>
      <c r="AL10" s="402" t="s">
        <v>473</v>
      </c>
      <c r="AM10" s="403" t="str">
        <f>AL10&amp;"
per FTE"</f>
        <v>Non Charitable Expenses
per FTE</v>
      </c>
      <c r="AN10" s="402" t="s">
        <v>474</v>
      </c>
      <c r="AO10" s="403" t="str">
        <f>AN10&amp;"
per FTE"</f>
        <v>Other Expense
per FTE</v>
      </c>
      <c r="AP10" s="402" t="s">
        <v>475</v>
      </c>
      <c r="AQ10" s="403" t="str">
        <f>AP10&amp;"
per FTE"</f>
        <v>Total Other Program Expense
per FTE</v>
      </c>
    </row>
    <row r="11" spans="1:43" x14ac:dyDescent="0.35">
      <c r="A11" s="394" t="s">
        <v>418</v>
      </c>
      <c r="B11" s="395" t="s">
        <v>419</v>
      </c>
      <c r="D11" s="394" t="s">
        <v>476</v>
      </c>
      <c r="E11" s="401"/>
      <c r="F11" s="394" t="s">
        <v>476</v>
      </c>
      <c r="G11" s="401"/>
      <c r="H11" s="394" t="s">
        <v>476</v>
      </c>
      <c r="I11" s="401"/>
      <c r="J11" s="394" t="s">
        <v>476</v>
      </c>
      <c r="K11" s="401"/>
      <c r="L11" s="394" t="s">
        <v>476</v>
      </c>
      <c r="M11" s="401"/>
      <c r="N11" s="394" t="s">
        <v>476</v>
      </c>
      <c r="O11" s="401"/>
      <c r="P11" s="394" t="s">
        <v>476</v>
      </c>
      <c r="Q11" s="401"/>
      <c r="R11" s="394" t="s">
        <v>476</v>
      </c>
      <c r="S11" s="401"/>
      <c r="T11" s="394" t="s">
        <v>476</v>
      </c>
      <c r="U11" s="401"/>
      <c r="V11" s="394" t="s">
        <v>476</v>
      </c>
      <c r="W11" s="401"/>
      <c r="X11" s="394" t="s">
        <v>476</v>
      </c>
      <c r="Y11" s="401"/>
      <c r="Z11" s="394" t="s">
        <v>476</v>
      </c>
      <c r="AA11" s="401"/>
      <c r="AB11" s="394" t="s">
        <v>476</v>
      </c>
      <c r="AC11" s="401"/>
      <c r="AD11" s="394" t="s">
        <v>476</v>
      </c>
      <c r="AE11" s="401"/>
      <c r="AF11" s="394" t="s">
        <v>476</v>
      </c>
      <c r="AG11" s="401"/>
      <c r="AH11" s="394" t="s">
        <v>476</v>
      </c>
      <c r="AI11" s="401"/>
      <c r="AJ11" s="394" t="s">
        <v>476</v>
      </c>
      <c r="AK11" s="401"/>
      <c r="AL11" s="394" t="s">
        <v>476</v>
      </c>
      <c r="AM11" s="401"/>
      <c r="AN11" s="394" t="s">
        <v>476</v>
      </c>
      <c r="AO11" s="401"/>
      <c r="AP11" s="394" t="s">
        <v>476</v>
      </c>
      <c r="AQ11" s="401"/>
    </row>
    <row r="12" spans="1:43" x14ac:dyDescent="0.35">
      <c r="A12" s="394" t="s">
        <v>477</v>
      </c>
      <c r="B12" s="395">
        <v>2.89</v>
      </c>
      <c r="D12" s="404">
        <v>55133</v>
      </c>
      <c r="E12" s="405">
        <f>IF(OR($B12=0,D12=0),"",D12/$B12)</f>
        <v>19077.162629757786</v>
      </c>
      <c r="F12" s="406"/>
      <c r="G12" s="405" t="str">
        <f>IF(OR($B12=0,F12=0),"",F12/$B12)</f>
        <v/>
      </c>
      <c r="H12" s="404"/>
      <c r="I12" s="405" t="str">
        <f>IF(OR($B12=0,H12=0),"",H12/$B12)</f>
        <v/>
      </c>
      <c r="J12" s="404"/>
      <c r="K12" s="405" t="str">
        <f>IF(OR($B12=0,J12=0),"",J12/$B12)</f>
        <v/>
      </c>
      <c r="L12" s="404"/>
      <c r="M12" s="405" t="str">
        <f>IF(OR($B12=0,L12=0),"",L12/$B12)</f>
        <v/>
      </c>
      <c r="N12" s="404"/>
      <c r="O12" s="405" t="str">
        <f>IF(OR($B12=0,N12=0),"",N12/$B12)</f>
        <v/>
      </c>
      <c r="P12" s="404"/>
      <c r="Q12" s="405" t="str">
        <f>IF(OR($B12=0,P12=0),"",P12/$B12)</f>
        <v/>
      </c>
      <c r="R12" s="404"/>
      <c r="S12" s="405" t="str">
        <f>IF(OR($B12=0,R12=0),"",R12/$B12)</f>
        <v/>
      </c>
      <c r="T12" s="404"/>
      <c r="U12" s="405" t="str">
        <f>IF(OR($B12=0,T12=0),"",T12/$B12)</f>
        <v/>
      </c>
      <c r="V12" s="404"/>
      <c r="W12" s="405" t="str">
        <f>IF(OR($B12=0,V12=0),"",V12/$B12)</f>
        <v/>
      </c>
      <c r="X12" s="404"/>
      <c r="Y12" s="405" t="str">
        <f>IF(OR($B12=0,X12=0),"",X12/$B12)</f>
        <v/>
      </c>
      <c r="Z12" s="404"/>
      <c r="AA12" s="405" t="str">
        <f>IF(OR($B12=0,Z12=0),"",Z12/$B12)</f>
        <v/>
      </c>
      <c r="AB12" s="404"/>
      <c r="AC12" s="405" t="str">
        <f>IF(OR($B12=0,AB12=0),"",AB12/$B12)</f>
        <v/>
      </c>
      <c r="AD12" s="404"/>
      <c r="AE12" s="405" t="str">
        <f>IF(OR($B12=0,AD12=0),"",AD12/$B12)</f>
        <v/>
      </c>
      <c r="AF12" s="404">
        <v>19840</v>
      </c>
      <c r="AG12" s="405">
        <f>IF(OR($B12=0,AF12=0),"",AF12/$B12)</f>
        <v>6865.0519031141866</v>
      </c>
      <c r="AH12" s="404"/>
      <c r="AI12" s="405" t="str">
        <f>IF(OR($B12=0,AH12=0),"",AH12/$B12)</f>
        <v/>
      </c>
      <c r="AJ12" s="404">
        <v>9253</v>
      </c>
      <c r="AK12" s="405">
        <f>IF(OR($B12=0,AJ12=0),"",AJ12/$B12)</f>
        <v>3201.7301038062283</v>
      </c>
      <c r="AL12" s="404"/>
      <c r="AM12" s="405" t="str">
        <f>IF(OR($B12=0,AL12=0),"",AL12/$B12)</f>
        <v/>
      </c>
      <c r="AN12" s="404"/>
      <c r="AO12" s="405" t="str">
        <f>IF(OR($B12=0,AN12=0),"",AN12/$B12)</f>
        <v/>
      </c>
      <c r="AP12" s="404">
        <v>29093</v>
      </c>
      <c r="AQ12" s="405">
        <f>IF(OR($B12=0,AP12=0),"",AP12/$B12)</f>
        <v>10066.782006920415</v>
      </c>
    </row>
    <row r="13" spans="1:43" x14ac:dyDescent="0.35">
      <c r="A13" s="396"/>
      <c r="B13">
        <v>10.23</v>
      </c>
      <c r="D13" s="407">
        <v>91889</v>
      </c>
      <c r="E13" s="405">
        <f t="shared" ref="E13:G28" si="0">IF(OR($B13=0,D13=0),"",D13/$B13)</f>
        <v>8982.3069403714562</v>
      </c>
      <c r="F13" s="407"/>
      <c r="G13" s="405" t="str">
        <f t="shared" si="0"/>
        <v/>
      </c>
      <c r="H13" s="407"/>
      <c r="I13" s="405" t="str">
        <f t="shared" ref="I13:I76" si="1">IF(OR($B13=0,H13=0),"",H13/$B13)</f>
        <v/>
      </c>
      <c r="J13" s="407"/>
      <c r="K13" s="405" t="str">
        <f t="shared" ref="K13:K76" si="2">IF(OR($B13=0,J13=0),"",J13/$B13)</f>
        <v/>
      </c>
      <c r="L13" s="407"/>
      <c r="M13" s="405" t="str">
        <f t="shared" ref="M13:M76" si="3">IF(OR($B13=0,L13=0),"",L13/$B13)</f>
        <v/>
      </c>
      <c r="N13" s="407"/>
      <c r="O13" s="405" t="str">
        <f t="shared" ref="O13:O76" si="4">IF(OR($B13=0,N13=0),"",N13/$B13)</f>
        <v/>
      </c>
      <c r="P13" s="407"/>
      <c r="Q13" s="405" t="str">
        <f t="shared" ref="Q13:Q76" si="5">IF(OR($B13=0,P13=0),"",P13/$B13)</f>
        <v/>
      </c>
      <c r="R13" s="407"/>
      <c r="S13" s="405" t="str">
        <f t="shared" ref="S13:S76" si="6">IF(OR($B13=0,R13=0),"",R13/$B13)</f>
        <v/>
      </c>
      <c r="T13" s="407"/>
      <c r="U13" s="405" t="str">
        <f t="shared" ref="U13:U76" si="7">IF(OR($B13=0,T13=0),"",T13/$B13)</f>
        <v/>
      </c>
      <c r="V13" s="407"/>
      <c r="W13" s="405" t="str">
        <f t="shared" ref="W13:W76" si="8">IF(OR($B13=0,V13=0),"",V13/$B13)</f>
        <v/>
      </c>
      <c r="X13" s="407"/>
      <c r="Y13" s="405" t="str">
        <f t="shared" ref="Y13:Y76" si="9">IF(OR($B13=0,X13=0),"",X13/$B13)</f>
        <v/>
      </c>
      <c r="Z13" s="407">
        <v>36083</v>
      </c>
      <c r="AA13" s="405">
        <f t="shared" ref="AA13:AA76" si="10">IF(OR($B13=0,Z13=0),"",Z13/$B13)</f>
        <v>3527.1749755620722</v>
      </c>
      <c r="AB13" s="407"/>
      <c r="AC13" s="405" t="str">
        <f t="shared" ref="AC13:AC76" si="11">IF(OR($B13=0,AB13=0),"",AB13/$B13)</f>
        <v/>
      </c>
      <c r="AD13" s="407"/>
      <c r="AE13" s="405" t="str">
        <f t="shared" ref="AE13:AE76" si="12">IF(OR($B13=0,AD13=0),"",AD13/$B13)</f>
        <v/>
      </c>
      <c r="AF13" s="407"/>
      <c r="AG13" s="405" t="str">
        <f t="shared" ref="AG13:AG76" si="13">IF(OR($B13=0,AF13=0),"",AF13/$B13)</f>
        <v/>
      </c>
      <c r="AH13" s="407"/>
      <c r="AI13" s="405" t="str">
        <f t="shared" ref="AI13:AI76" si="14">IF(OR($B13=0,AH13=0),"",AH13/$B13)</f>
        <v/>
      </c>
      <c r="AJ13" s="407">
        <v>19992</v>
      </c>
      <c r="AK13" s="405">
        <f t="shared" ref="AK13:AK76" si="15">IF(OR($B13=0,AJ13=0),"",AJ13/$B13)</f>
        <v>1954.2521994134897</v>
      </c>
      <c r="AL13" s="407"/>
      <c r="AM13" s="405" t="str">
        <f t="shared" ref="AM13:AM76" si="16">IF(OR($B13=0,AL13=0),"",AL13/$B13)</f>
        <v/>
      </c>
      <c r="AN13" s="407"/>
      <c r="AO13" s="405" t="str">
        <f t="shared" ref="AO13:AO76" si="17">IF(OR($B13=0,AN13=0),"",AN13/$B13)</f>
        <v/>
      </c>
      <c r="AP13" s="407">
        <v>56075</v>
      </c>
      <c r="AQ13" s="405">
        <f t="shared" ref="AQ13:AQ76" si="18">IF(OR($B13=0,AP13=0),"",AP13/$B13)</f>
        <v>5481.4271749755617</v>
      </c>
    </row>
    <row r="14" spans="1:43" x14ac:dyDescent="0.35">
      <c r="A14" s="394" t="s">
        <v>420</v>
      </c>
      <c r="B14" s="395">
        <v>226.26</v>
      </c>
      <c r="D14" s="404">
        <v>1623922</v>
      </c>
      <c r="E14" s="405">
        <f t="shared" si="0"/>
        <v>7177.2385750906042</v>
      </c>
      <c r="F14" s="404">
        <v>350666</v>
      </c>
      <c r="G14" s="405">
        <f t="shared" si="0"/>
        <v>1549.836471316185</v>
      </c>
      <c r="H14" s="404"/>
      <c r="I14" s="405" t="str">
        <f t="shared" si="1"/>
        <v/>
      </c>
      <c r="J14" s="404">
        <v>30000</v>
      </c>
      <c r="K14" s="405">
        <f t="shared" si="2"/>
        <v>132.59082471492974</v>
      </c>
      <c r="L14" s="404"/>
      <c r="M14" s="405" t="str">
        <f t="shared" si="3"/>
        <v/>
      </c>
      <c r="N14" s="404">
        <v>30458</v>
      </c>
      <c r="O14" s="405">
        <f t="shared" si="4"/>
        <v>134.615044638911</v>
      </c>
      <c r="P14" s="404">
        <v>6680</v>
      </c>
      <c r="Q14" s="405">
        <f t="shared" si="5"/>
        <v>29.523556969857687</v>
      </c>
      <c r="R14" s="404">
        <v>550</v>
      </c>
      <c r="S14" s="405">
        <f t="shared" si="6"/>
        <v>2.4308317864403786</v>
      </c>
      <c r="T14" s="404"/>
      <c r="U14" s="405" t="str">
        <f t="shared" si="7"/>
        <v/>
      </c>
      <c r="V14" s="404"/>
      <c r="W14" s="405" t="str">
        <f t="shared" si="8"/>
        <v/>
      </c>
      <c r="X14" s="404"/>
      <c r="Y14" s="405" t="str">
        <f t="shared" si="9"/>
        <v/>
      </c>
      <c r="Z14" s="404">
        <v>60340</v>
      </c>
      <c r="AA14" s="405">
        <f t="shared" si="10"/>
        <v>266.68434544329534</v>
      </c>
      <c r="AB14" s="404">
        <v>236184</v>
      </c>
      <c r="AC14" s="405">
        <f t="shared" si="11"/>
        <v>1043.8610448156987</v>
      </c>
      <c r="AD14" s="404">
        <v>242</v>
      </c>
      <c r="AE14" s="405">
        <f t="shared" si="12"/>
        <v>1.0695659860337665</v>
      </c>
      <c r="AF14" s="404"/>
      <c r="AG14" s="405" t="str">
        <f t="shared" si="13"/>
        <v/>
      </c>
      <c r="AH14" s="404"/>
      <c r="AI14" s="405" t="str">
        <f t="shared" si="14"/>
        <v/>
      </c>
      <c r="AJ14" s="404">
        <v>67538</v>
      </c>
      <c r="AK14" s="405">
        <f t="shared" si="15"/>
        <v>298.49730398656413</v>
      </c>
      <c r="AL14" s="404"/>
      <c r="AM14" s="405" t="str">
        <f t="shared" si="16"/>
        <v/>
      </c>
      <c r="AN14" s="404">
        <v>541416</v>
      </c>
      <c r="AO14" s="405">
        <f t="shared" si="17"/>
        <v>2392.8931317952797</v>
      </c>
      <c r="AP14" s="404">
        <v>1324074</v>
      </c>
      <c r="AQ14" s="405">
        <f t="shared" si="18"/>
        <v>5852.0021214531953</v>
      </c>
    </row>
    <row r="15" spans="1:43" x14ac:dyDescent="0.35">
      <c r="A15" s="394" t="s">
        <v>478</v>
      </c>
      <c r="B15" s="395">
        <v>9.31</v>
      </c>
      <c r="D15" s="404">
        <v>93248</v>
      </c>
      <c r="E15" s="405">
        <f t="shared" si="0"/>
        <v>10015.896885069817</v>
      </c>
      <c r="F15" s="404"/>
      <c r="G15" s="405" t="str">
        <f t="shared" si="0"/>
        <v/>
      </c>
      <c r="H15" s="404"/>
      <c r="I15" s="405" t="str">
        <f t="shared" si="1"/>
        <v/>
      </c>
      <c r="J15" s="404"/>
      <c r="K15" s="405" t="str">
        <f t="shared" si="2"/>
        <v/>
      </c>
      <c r="L15" s="404"/>
      <c r="M15" s="405" t="str">
        <f t="shared" si="3"/>
        <v/>
      </c>
      <c r="N15" s="404">
        <v>1187</v>
      </c>
      <c r="O15" s="405">
        <f t="shared" si="4"/>
        <v>127.49731471535982</v>
      </c>
      <c r="P15" s="404">
        <v>12896</v>
      </c>
      <c r="Q15" s="405">
        <f t="shared" si="5"/>
        <v>1385.1772287862514</v>
      </c>
      <c r="R15" s="404">
        <v>350</v>
      </c>
      <c r="S15" s="405">
        <f t="shared" si="6"/>
        <v>37.593984962406012</v>
      </c>
      <c r="T15" s="404"/>
      <c r="U15" s="405" t="str">
        <f t="shared" si="7"/>
        <v/>
      </c>
      <c r="V15" s="404">
        <v>378</v>
      </c>
      <c r="W15" s="405">
        <f t="shared" si="8"/>
        <v>40.601503759398497</v>
      </c>
      <c r="X15" s="404"/>
      <c r="Y15" s="405" t="str">
        <f t="shared" si="9"/>
        <v/>
      </c>
      <c r="Z15" s="404"/>
      <c r="AA15" s="405" t="str">
        <f t="shared" si="10"/>
        <v/>
      </c>
      <c r="AB15" s="404"/>
      <c r="AC15" s="405" t="str">
        <f t="shared" si="11"/>
        <v/>
      </c>
      <c r="AD15" s="404">
        <v>105</v>
      </c>
      <c r="AE15" s="405">
        <f t="shared" si="12"/>
        <v>11.278195488721805</v>
      </c>
      <c r="AF15" s="404"/>
      <c r="AG15" s="405" t="str">
        <f t="shared" si="13"/>
        <v/>
      </c>
      <c r="AH15" s="404"/>
      <c r="AI15" s="405" t="str">
        <f t="shared" si="14"/>
        <v/>
      </c>
      <c r="AJ15" s="404">
        <v>14214</v>
      </c>
      <c r="AK15" s="405">
        <f t="shared" si="15"/>
        <v>1526.7454350161115</v>
      </c>
      <c r="AL15" s="404"/>
      <c r="AM15" s="405" t="str">
        <f t="shared" si="16"/>
        <v/>
      </c>
      <c r="AN15" s="404"/>
      <c r="AO15" s="405" t="str">
        <f t="shared" si="17"/>
        <v/>
      </c>
      <c r="AP15" s="404">
        <v>29130</v>
      </c>
      <c r="AQ15" s="405">
        <f t="shared" si="18"/>
        <v>3128.8936627282492</v>
      </c>
    </row>
    <row r="16" spans="1:43" x14ac:dyDescent="0.35">
      <c r="A16" s="396"/>
      <c r="B16">
        <v>15.7</v>
      </c>
      <c r="D16" s="407">
        <v>129489</v>
      </c>
      <c r="E16" s="405">
        <f t="shared" si="0"/>
        <v>8247.7070063694264</v>
      </c>
      <c r="F16" s="407">
        <v>125293</v>
      </c>
      <c r="G16" s="405">
        <f t="shared" si="0"/>
        <v>7980.4458598726114</v>
      </c>
      <c r="H16" s="407"/>
      <c r="I16" s="405" t="str">
        <f t="shared" si="1"/>
        <v/>
      </c>
      <c r="J16" s="407"/>
      <c r="K16" s="405" t="str">
        <f t="shared" si="2"/>
        <v/>
      </c>
      <c r="L16" s="407"/>
      <c r="M16" s="405" t="str">
        <f t="shared" si="3"/>
        <v/>
      </c>
      <c r="N16" s="407">
        <v>1187</v>
      </c>
      <c r="O16" s="405">
        <f t="shared" si="4"/>
        <v>75.605095541401283</v>
      </c>
      <c r="P16" s="407">
        <v>12896</v>
      </c>
      <c r="Q16" s="405">
        <f t="shared" si="5"/>
        <v>821.40127388535041</v>
      </c>
      <c r="R16" s="407">
        <v>350</v>
      </c>
      <c r="S16" s="405">
        <f t="shared" si="6"/>
        <v>22.29299363057325</v>
      </c>
      <c r="T16" s="407"/>
      <c r="U16" s="405" t="str">
        <f t="shared" si="7"/>
        <v/>
      </c>
      <c r="V16" s="407">
        <v>378</v>
      </c>
      <c r="W16" s="405">
        <f t="shared" si="8"/>
        <v>24.076433121019111</v>
      </c>
      <c r="X16" s="407"/>
      <c r="Y16" s="405" t="str">
        <f t="shared" si="9"/>
        <v/>
      </c>
      <c r="Z16" s="407">
        <v>39596</v>
      </c>
      <c r="AA16" s="405">
        <f t="shared" si="10"/>
        <v>2522.0382165605097</v>
      </c>
      <c r="AB16" s="407"/>
      <c r="AC16" s="405" t="str">
        <f t="shared" si="11"/>
        <v/>
      </c>
      <c r="AD16" s="407">
        <v>105</v>
      </c>
      <c r="AE16" s="405">
        <f t="shared" si="12"/>
        <v>6.6878980891719753</v>
      </c>
      <c r="AF16" s="407"/>
      <c r="AG16" s="405" t="str">
        <f t="shared" si="13"/>
        <v/>
      </c>
      <c r="AH16" s="407"/>
      <c r="AI16" s="405" t="str">
        <f t="shared" si="14"/>
        <v/>
      </c>
      <c r="AJ16" s="407">
        <v>34946</v>
      </c>
      <c r="AK16" s="405">
        <f t="shared" si="15"/>
        <v>2225.8598726114651</v>
      </c>
      <c r="AL16" s="407"/>
      <c r="AM16" s="405" t="str">
        <f t="shared" si="16"/>
        <v/>
      </c>
      <c r="AN16" s="407"/>
      <c r="AO16" s="405" t="str">
        <f t="shared" si="17"/>
        <v/>
      </c>
      <c r="AP16" s="407">
        <v>214751</v>
      </c>
      <c r="AQ16" s="405">
        <f t="shared" si="18"/>
        <v>13678.407643312103</v>
      </c>
    </row>
    <row r="17" spans="1:43" x14ac:dyDescent="0.35">
      <c r="A17" s="394" t="s">
        <v>421</v>
      </c>
      <c r="B17" s="395">
        <v>3.42</v>
      </c>
      <c r="D17" s="404">
        <v>56894</v>
      </c>
      <c r="E17" s="405">
        <f t="shared" si="0"/>
        <v>16635.672514619884</v>
      </c>
      <c r="F17" s="404"/>
      <c r="G17" s="405" t="str">
        <f t="shared" si="0"/>
        <v/>
      </c>
      <c r="H17" s="404"/>
      <c r="I17" s="405" t="str">
        <f t="shared" si="1"/>
        <v/>
      </c>
      <c r="J17" s="404"/>
      <c r="K17" s="405" t="str">
        <f t="shared" si="2"/>
        <v/>
      </c>
      <c r="L17" s="404"/>
      <c r="M17" s="405" t="str">
        <f t="shared" si="3"/>
        <v/>
      </c>
      <c r="N17" s="404"/>
      <c r="O17" s="405" t="str">
        <f t="shared" si="4"/>
        <v/>
      </c>
      <c r="P17" s="404">
        <v>20</v>
      </c>
      <c r="Q17" s="405">
        <f t="shared" si="5"/>
        <v>5.8479532163742691</v>
      </c>
      <c r="R17" s="404"/>
      <c r="S17" s="405" t="str">
        <f t="shared" si="6"/>
        <v/>
      </c>
      <c r="T17" s="404"/>
      <c r="U17" s="405" t="str">
        <f t="shared" si="7"/>
        <v/>
      </c>
      <c r="V17" s="404"/>
      <c r="W17" s="405" t="str">
        <f t="shared" si="8"/>
        <v/>
      </c>
      <c r="X17" s="404"/>
      <c r="Y17" s="405" t="str">
        <f t="shared" si="9"/>
        <v/>
      </c>
      <c r="Z17" s="404"/>
      <c r="AA17" s="405" t="str">
        <f t="shared" si="10"/>
        <v/>
      </c>
      <c r="AB17" s="404"/>
      <c r="AC17" s="405" t="str">
        <f t="shared" si="11"/>
        <v/>
      </c>
      <c r="AD17" s="404"/>
      <c r="AE17" s="405" t="str">
        <f t="shared" si="12"/>
        <v/>
      </c>
      <c r="AF17" s="404"/>
      <c r="AG17" s="405" t="str">
        <f t="shared" si="13"/>
        <v/>
      </c>
      <c r="AH17" s="404"/>
      <c r="AI17" s="405" t="str">
        <f t="shared" si="14"/>
        <v/>
      </c>
      <c r="AJ17" s="404">
        <v>74</v>
      </c>
      <c r="AK17" s="405">
        <f t="shared" si="15"/>
        <v>21.637426900584796</v>
      </c>
      <c r="AL17" s="404"/>
      <c r="AM17" s="405" t="str">
        <f t="shared" si="16"/>
        <v/>
      </c>
      <c r="AN17" s="404"/>
      <c r="AO17" s="405" t="str">
        <f t="shared" si="17"/>
        <v/>
      </c>
      <c r="AP17" s="404">
        <v>94</v>
      </c>
      <c r="AQ17" s="405">
        <f t="shared" si="18"/>
        <v>27.485380116959064</v>
      </c>
    </row>
    <row r="18" spans="1:43" x14ac:dyDescent="0.35">
      <c r="A18" s="396"/>
      <c r="B18">
        <v>16.09</v>
      </c>
      <c r="D18" s="407">
        <v>138170</v>
      </c>
      <c r="E18" s="405">
        <f t="shared" si="0"/>
        <v>8587.3213175885649</v>
      </c>
      <c r="F18" s="407">
        <v>117030</v>
      </c>
      <c r="G18" s="405">
        <f t="shared" si="0"/>
        <v>7273.461777501554</v>
      </c>
      <c r="H18" s="407"/>
      <c r="I18" s="405" t="str">
        <f t="shared" si="1"/>
        <v/>
      </c>
      <c r="J18" s="407"/>
      <c r="K18" s="405" t="str">
        <f t="shared" si="2"/>
        <v/>
      </c>
      <c r="L18" s="407"/>
      <c r="M18" s="405" t="str">
        <f t="shared" si="3"/>
        <v/>
      </c>
      <c r="N18" s="407">
        <v>17827</v>
      </c>
      <c r="O18" s="405">
        <f t="shared" si="4"/>
        <v>1107.9552517091361</v>
      </c>
      <c r="P18" s="407">
        <v>94</v>
      </c>
      <c r="Q18" s="405">
        <f t="shared" si="5"/>
        <v>5.84213797389683</v>
      </c>
      <c r="R18" s="407"/>
      <c r="S18" s="405" t="str">
        <f t="shared" si="6"/>
        <v/>
      </c>
      <c r="T18" s="407"/>
      <c r="U18" s="405" t="str">
        <f t="shared" si="7"/>
        <v/>
      </c>
      <c r="V18" s="407">
        <v>19</v>
      </c>
      <c r="W18" s="405">
        <f t="shared" si="8"/>
        <v>1.1808576755748912</v>
      </c>
      <c r="X18" s="407"/>
      <c r="Y18" s="405" t="str">
        <f t="shared" si="9"/>
        <v/>
      </c>
      <c r="Z18" s="407"/>
      <c r="AA18" s="405" t="str">
        <f t="shared" si="10"/>
        <v/>
      </c>
      <c r="AB18" s="407"/>
      <c r="AC18" s="405" t="str">
        <f t="shared" si="11"/>
        <v/>
      </c>
      <c r="AD18" s="407"/>
      <c r="AE18" s="405" t="str">
        <f t="shared" si="12"/>
        <v/>
      </c>
      <c r="AF18" s="407"/>
      <c r="AG18" s="405" t="str">
        <f t="shared" si="13"/>
        <v/>
      </c>
      <c r="AH18" s="407"/>
      <c r="AI18" s="405" t="str">
        <f t="shared" si="14"/>
        <v/>
      </c>
      <c r="AJ18" s="407">
        <v>38813</v>
      </c>
      <c r="AK18" s="405">
        <f t="shared" si="15"/>
        <v>2412.2436295835923</v>
      </c>
      <c r="AL18" s="407"/>
      <c r="AM18" s="405" t="str">
        <f t="shared" si="16"/>
        <v/>
      </c>
      <c r="AN18" s="407"/>
      <c r="AO18" s="405" t="str">
        <f t="shared" si="17"/>
        <v/>
      </c>
      <c r="AP18" s="407">
        <v>173783</v>
      </c>
      <c r="AQ18" s="405">
        <f t="shared" si="18"/>
        <v>10800.683654443754</v>
      </c>
    </row>
    <row r="19" spans="1:43" x14ac:dyDescent="0.35">
      <c r="A19" s="396"/>
      <c r="B19">
        <v>10.6</v>
      </c>
      <c r="D19" s="407">
        <v>90090</v>
      </c>
      <c r="E19" s="405">
        <f t="shared" si="0"/>
        <v>8499.0566037735844</v>
      </c>
      <c r="F19" s="407">
        <v>63241</v>
      </c>
      <c r="G19" s="405">
        <f t="shared" si="0"/>
        <v>5966.132075471698</v>
      </c>
      <c r="H19" s="407"/>
      <c r="I19" s="405" t="str">
        <f t="shared" si="1"/>
        <v/>
      </c>
      <c r="J19" s="407"/>
      <c r="K19" s="405" t="str">
        <f t="shared" si="2"/>
        <v/>
      </c>
      <c r="L19" s="407"/>
      <c r="M19" s="405" t="str">
        <f t="shared" si="3"/>
        <v/>
      </c>
      <c r="N19" s="407">
        <v>11781</v>
      </c>
      <c r="O19" s="405">
        <f t="shared" si="4"/>
        <v>1111.4150943396228</v>
      </c>
      <c r="P19" s="407">
        <v>62</v>
      </c>
      <c r="Q19" s="405">
        <f t="shared" si="5"/>
        <v>5.8490566037735849</v>
      </c>
      <c r="R19" s="407"/>
      <c r="S19" s="405" t="str">
        <f t="shared" si="6"/>
        <v/>
      </c>
      <c r="T19" s="407"/>
      <c r="U19" s="405" t="str">
        <f t="shared" si="7"/>
        <v/>
      </c>
      <c r="V19" s="407">
        <v>13</v>
      </c>
      <c r="W19" s="405">
        <f t="shared" si="8"/>
        <v>1.2264150943396226</v>
      </c>
      <c r="X19" s="407"/>
      <c r="Y19" s="405" t="str">
        <f t="shared" si="9"/>
        <v/>
      </c>
      <c r="Z19" s="407"/>
      <c r="AA19" s="405" t="str">
        <f t="shared" si="10"/>
        <v/>
      </c>
      <c r="AB19" s="407"/>
      <c r="AC19" s="405" t="str">
        <f t="shared" si="11"/>
        <v/>
      </c>
      <c r="AD19" s="407"/>
      <c r="AE19" s="405" t="str">
        <f t="shared" si="12"/>
        <v/>
      </c>
      <c r="AF19" s="407"/>
      <c r="AG19" s="405" t="str">
        <f t="shared" si="13"/>
        <v/>
      </c>
      <c r="AH19" s="407"/>
      <c r="AI19" s="405" t="str">
        <f t="shared" si="14"/>
        <v/>
      </c>
      <c r="AJ19" s="407">
        <v>25646</v>
      </c>
      <c r="AK19" s="405">
        <f t="shared" si="15"/>
        <v>2419.433962264151</v>
      </c>
      <c r="AL19" s="407"/>
      <c r="AM19" s="405" t="str">
        <f t="shared" si="16"/>
        <v/>
      </c>
      <c r="AN19" s="407"/>
      <c r="AO19" s="405" t="str">
        <f t="shared" si="17"/>
        <v/>
      </c>
      <c r="AP19" s="407">
        <v>100743</v>
      </c>
      <c r="AQ19" s="405">
        <f t="shared" si="18"/>
        <v>9504.0566037735844</v>
      </c>
    </row>
    <row r="20" spans="1:43" x14ac:dyDescent="0.35">
      <c r="A20" s="394" t="s">
        <v>479</v>
      </c>
      <c r="B20" s="395">
        <v>3.0444711538461502</v>
      </c>
      <c r="D20" s="404">
        <v>20271.86</v>
      </c>
      <c r="E20" s="405">
        <f t="shared" si="0"/>
        <v>6658.5817291748999</v>
      </c>
      <c r="F20" s="404"/>
      <c r="G20" s="405" t="str">
        <f t="shared" si="0"/>
        <v/>
      </c>
      <c r="H20" s="404"/>
      <c r="I20" s="405" t="str">
        <f t="shared" si="1"/>
        <v/>
      </c>
      <c r="J20" s="404"/>
      <c r="K20" s="405" t="str">
        <f t="shared" si="2"/>
        <v/>
      </c>
      <c r="L20" s="404"/>
      <c r="M20" s="405" t="str">
        <f t="shared" si="3"/>
        <v/>
      </c>
      <c r="N20" s="404"/>
      <c r="O20" s="405" t="str">
        <f t="shared" si="4"/>
        <v/>
      </c>
      <c r="P20" s="404"/>
      <c r="Q20" s="405" t="str">
        <f t="shared" si="5"/>
        <v/>
      </c>
      <c r="R20" s="404">
        <v>2</v>
      </c>
      <c r="S20" s="405">
        <f t="shared" si="6"/>
        <v>0.65692854322937311</v>
      </c>
      <c r="T20" s="404"/>
      <c r="U20" s="405" t="str">
        <f t="shared" si="7"/>
        <v/>
      </c>
      <c r="V20" s="404"/>
      <c r="W20" s="405" t="str">
        <f t="shared" si="8"/>
        <v/>
      </c>
      <c r="X20" s="404"/>
      <c r="Y20" s="405" t="str">
        <f t="shared" si="9"/>
        <v/>
      </c>
      <c r="Z20" s="404">
        <v>-562.5</v>
      </c>
      <c r="AA20" s="405">
        <f t="shared" si="10"/>
        <v>-184.76115278326117</v>
      </c>
      <c r="AB20" s="404"/>
      <c r="AC20" s="405" t="str">
        <f t="shared" si="11"/>
        <v/>
      </c>
      <c r="AD20" s="404"/>
      <c r="AE20" s="405" t="str">
        <f t="shared" si="12"/>
        <v/>
      </c>
      <c r="AF20" s="404"/>
      <c r="AG20" s="405" t="str">
        <f t="shared" si="13"/>
        <v/>
      </c>
      <c r="AH20" s="404"/>
      <c r="AI20" s="405" t="str">
        <f t="shared" si="14"/>
        <v/>
      </c>
      <c r="AJ20" s="404">
        <v>228.13</v>
      </c>
      <c r="AK20" s="405">
        <f t="shared" si="15"/>
        <v>74.932554283458444</v>
      </c>
      <c r="AL20" s="404"/>
      <c r="AM20" s="405" t="str">
        <f t="shared" si="16"/>
        <v/>
      </c>
      <c r="AN20" s="404"/>
      <c r="AO20" s="405" t="str">
        <f t="shared" si="17"/>
        <v/>
      </c>
      <c r="AP20" s="404">
        <v>-332.37</v>
      </c>
      <c r="AQ20" s="405">
        <f t="shared" si="18"/>
        <v>-109.17166995657337</v>
      </c>
    </row>
    <row r="21" spans="1:43" x14ac:dyDescent="0.35">
      <c r="A21" s="396"/>
      <c r="B21">
        <v>23.084365384615399</v>
      </c>
      <c r="D21" s="407">
        <v>16253.52</v>
      </c>
      <c r="E21" s="405">
        <f t="shared" si="0"/>
        <v>704.09213028798172</v>
      </c>
      <c r="F21" s="407"/>
      <c r="G21" s="405" t="str">
        <f t="shared" si="0"/>
        <v/>
      </c>
      <c r="H21" s="407"/>
      <c r="I21" s="405" t="str">
        <f t="shared" si="1"/>
        <v/>
      </c>
      <c r="J21" s="407"/>
      <c r="K21" s="405" t="str">
        <f t="shared" si="2"/>
        <v/>
      </c>
      <c r="L21" s="407"/>
      <c r="M21" s="405" t="str">
        <f t="shared" si="3"/>
        <v/>
      </c>
      <c r="N21" s="407">
        <v>5595.09</v>
      </c>
      <c r="O21" s="405">
        <f t="shared" si="4"/>
        <v>242.37573382584102</v>
      </c>
      <c r="P21" s="407">
        <v>13827.24</v>
      </c>
      <c r="Q21" s="405">
        <f t="shared" si="5"/>
        <v>598.98722661941486</v>
      </c>
      <c r="R21" s="407">
        <v>80.31</v>
      </c>
      <c r="S21" s="405">
        <f t="shared" si="6"/>
        <v>3.4789780295854564</v>
      </c>
      <c r="T21" s="407"/>
      <c r="U21" s="405" t="str">
        <f t="shared" si="7"/>
        <v/>
      </c>
      <c r="V21" s="407">
        <v>44.61</v>
      </c>
      <c r="W21" s="405">
        <f t="shared" si="8"/>
        <v>1.9324767762396615</v>
      </c>
      <c r="X21" s="407"/>
      <c r="Y21" s="405" t="str">
        <f t="shared" si="9"/>
        <v/>
      </c>
      <c r="Z21" s="407">
        <v>70.23</v>
      </c>
      <c r="AA21" s="405">
        <f t="shared" si="10"/>
        <v>3.0423188521701734</v>
      </c>
      <c r="AB21" s="407">
        <v>33.619999999999997</v>
      </c>
      <c r="AC21" s="405">
        <f t="shared" si="11"/>
        <v>1.456396978641054</v>
      </c>
      <c r="AD21" s="407"/>
      <c r="AE21" s="405" t="str">
        <f t="shared" si="12"/>
        <v/>
      </c>
      <c r="AF21" s="407"/>
      <c r="AG21" s="405" t="str">
        <f t="shared" si="13"/>
        <v/>
      </c>
      <c r="AH21" s="407"/>
      <c r="AI21" s="405" t="str">
        <f t="shared" si="14"/>
        <v/>
      </c>
      <c r="AJ21" s="407">
        <v>167.83</v>
      </c>
      <c r="AK21" s="405">
        <f t="shared" si="15"/>
        <v>7.2702886652387901</v>
      </c>
      <c r="AL21" s="407"/>
      <c r="AM21" s="405" t="str">
        <f t="shared" si="16"/>
        <v/>
      </c>
      <c r="AN21" s="407"/>
      <c r="AO21" s="405" t="str">
        <f t="shared" si="17"/>
        <v/>
      </c>
      <c r="AP21" s="407">
        <v>19818.93</v>
      </c>
      <c r="AQ21" s="405">
        <f t="shared" si="18"/>
        <v>858.543419747131</v>
      </c>
    </row>
    <row r="22" spans="1:43" x14ac:dyDescent="0.35">
      <c r="A22" s="396"/>
      <c r="B22">
        <v>39.786725961538501</v>
      </c>
      <c r="D22" s="407">
        <v>784944.66</v>
      </c>
      <c r="E22" s="405">
        <f t="shared" si="0"/>
        <v>19728.80756156713</v>
      </c>
      <c r="F22" s="407"/>
      <c r="G22" s="405" t="str">
        <f t="shared" si="0"/>
        <v/>
      </c>
      <c r="H22" s="407"/>
      <c r="I22" s="405" t="str">
        <f t="shared" si="1"/>
        <v/>
      </c>
      <c r="J22" s="407"/>
      <c r="K22" s="405" t="str">
        <f t="shared" si="2"/>
        <v/>
      </c>
      <c r="L22" s="407"/>
      <c r="M22" s="405" t="str">
        <f t="shared" si="3"/>
        <v/>
      </c>
      <c r="N22" s="407">
        <v>5841</v>
      </c>
      <c r="O22" s="405">
        <f t="shared" si="4"/>
        <v>146.80775708075217</v>
      </c>
      <c r="P22" s="407">
        <v>1450.1</v>
      </c>
      <c r="Q22" s="405">
        <f t="shared" si="5"/>
        <v>36.446829060571595</v>
      </c>
      <c r="R22" s="407">
        <v>11170</v>
      </c>
      <c r="S22" s="405">
        <f t="shared" si="6"/>
        <v>280.74690063208385</v>
      </c>
      <c r="T22" s="407"/>
      <c r="U22" s="405" t="str">
        <f t="shared" si="7"/>
        <v/>
      </c>
      <c r="V22" s="407"/>
      <c r="W22" s="405" t="str">
        <f t="shared" si="8"/>
        <v/>
      </c>
      <c r="X22" s="407"/>
      <c r="Y22" s="405" t="str">
        <f t="shared" si="9"/>
        <v/>
      </c>
      <c r="Z22" s="407">
        <v>185138.03</v>
      </c>
      <c r="AA22" s="405">
        <f t="shared" si="10"/>
        <v>4653.2612454458149</v>
      </c>
      <c r="AB22" s="407"/>
      <c r="AC22" s="405" t="str">
        <f t="shared" si="11"/>
        <v/>
      </c>
      <c r="AD22" s="407">
        <v>32.93</v>
      </c>
      <c r="AE22" s="405">
        <f t="shared" si="12"/>
        <v>0.82766297563245483</v>
      </c>
      <c r="AF22" s="407"/>
      <c r="AG22" s="405" t="str">
        <f t="shared" si="13"/>
        <v/>
      </c>
      <c r="AH22" s="407"/>
      <c r="AI22" s="405" t="str">
        <f t="shared" si="14"/>
        <v/>
      </c>
      <c r="AJ22" s="407">
        <v>109431.16</v>
      </c>
      <c r="AK22" s="405">
        <f t="shared" si="15"/>
        <v>2750.4439572581618</v>
      </c>
      <c r="AL22" s="407"/>
      <c r="AM22" s="405" t="str">
        <f t="shared" si="16"/>
        <v/>
      </c>
      <c r="AN22" s="407"/>
      <c r="AO22" s="405" t="str">
        <f t="shared" si="17"/>
        <v/>
      </c>
      <c r="AP22" s="407">
        <v>313063.21999999997</v>
      </c>
      <c r="AQ22" s="405">
        <f t="shared" si="18"/>
        <v>7868.5343524530163</v>
      </c>
    </row>
    <row r="23" spans="1:43" x14ac:dyDescent="0.35">
      <c r="A23" s="394" t="s">
        <v>480</v>
      </c>
      <c r="B23" s="395">
        <v>5.23</v>
      </c>
      <c r="D23" s="404">
        <v>80301</v>
      </c>
      <c r="E23" s="405">
        <f t="shared" si="0"/>
        <v>15353.919694072656</v>
      </c>
      <c r="F23" s="404"/>
      <c r="G23" s="405" t="str">
        <f t="shared" si="0"/>
        <v/>
      </c>
      <c r="H23" s="404"/>
      <c r="I23" s="405" t="str">
        <f t="shared" si="1"/>
        <v/>
      </c>
      <c r="J23" s="404"/>
      <c r="K23" s="405" t="str">
        <f t="shared" si="2"/>
        <v/>
      </c>
      <c r="L23" s="404"/>
      <c r="M23" s="405" t="str">
        <f t="shared" si="3"/>
        <v/>
      </c>
      <c r="N23" s="404">
        <v>1487</v>
      </c>
      <c r="O23" s="405">
        <f t="shared" si="4"/>
        <v>284.32122370936901</v>
      </c>
      <c r="P23" s="404">
        <v>1636</v>
      </c>
      <c r="Q23" s="405">
        <f t="shared" si="5"/>
        <v>312.81070745697895</v>
      </c>
      <c r="R23" s="404"/>
      <c r="S23" s="405" t="str">
        <f t="shared" si="6"/>
        <v/>
      </c>
      <c r="T23" s="404"/>
      <c r="U23" s="405" t="str">
        <f t="shared" si="7"/>
        <v/>
      </c>
      <c r="V23" s="404">
        <v>191</v>
      </c>
      <c r="W23" s="405">
        <f t="shared" si="8"/>
        <v>36.520076481835559</v>
      </c>
      <c r="X23" s="404"/>
      <c r="Y23" s="405" t="str">
        <f t="shared" si="9"/>
        <v/>
      </c>
      <c r="Z23" s="404"/>
      <c r="AA23" s="405" t="str">
        <f t="shared" si="10"/>
        <v/>
      </c>
      <c r="AB23" s="404"/>
      <c r="AC23" s="405" t="str">
        <f t="shared" si="11"/>
        <v/>
      </c>
      <c r="AD23" s="404">
        <v>966</v>
      </c>
      <c r="AE23" s="405">
        <f t="shared" si="12"/>
        <v>184.70363288718929</v>
      </c>
      <c r="AF23" s="404"/>
      <c r="AG23" s="405" t="str">
        <f t="shared" si="13"/>
        <v/>
      </c>
      <c r="AH23" s="404"/>
      <c r="AI23" s="405" t="str">
        <f t="shared" si="14"/>
        <v/>
      </c>
      <c r="AJ23" s="404">
        <v>21034</v>
      </c>
      <c r="AK23" s="405">
        <f t="shared" si="15"/>
        <v>4021.7973231357551</v>
      </c>
      <c r="AL23" s="404"/>
      <c r="AM23" s="405" t="str">
        <f t="shared" si="16"/>
        <v/>
      </c>
      <c r="AN23" s="404">
        <v>1139</v>
      </c>
      <c r="AO23" s="405">
        <f t="shared" si="17"/>
        <v>217.78202676864242</v>
      </c>
      <c r="AP23" s="404">
        <v>26453</v>
      </c>
      <c r="AQ23" s="405">
        <f t="shared" si="18"/>
        <v>5057.9349904397704</v>
      </c>
    </row>
    <row r="24" spans="1:43" x14ac:dyDescent="0.35">
      <c r="A24" s="394" t="s">
        <v>422</v>
      </c>
      <c r="B24" s="395">
        <v>0.28000000000000003</v>
      </c>
      <c r="D24" s="404"/>
      <c r="E24" s="405" t="str">
        <f t="shared" si="0"/>
        <v/>
      </c>
      <c r="F24" s="404"/>
      <c r="G24" s="405" t="str">
        <f t="shared" si="0"/>
        <v/>
      </c>
      <c r="H24" s="404"/>
      <c r="I24" s="405" t="str">
        <f t="shared" si="1"/>
        <v/>
      </c>
      <c r="J24" s="404"/>
      <c r="K24" s="405" t="str">
        <f t="shared" si="2"/>
        <v/>
      </c>
      <c r="L24" s="404"/>
      <c r="M24" s="405" t="str">
        <f t="shared" si="3"/>
        <v/>
      </c>
      <c r="N24" s="404"/>
      <c r="O24" s="405" t="str">
        <f t="shared" si="4"/>
        <v/>
      </c>
      <c r="P24" s="404"/>
      <c r="Q24" s="405" t="str">
        <f t="shared" si="5"/>
        <v/>
      </c>
      <c r="R24" s="404"/>
      <c r="S24" s="405" t="str">
        <f t="shared" si="6"/>
        <v/>
      </c>
      <c r="T24" s="404"/>
      <c r="U24" s="405" t="str">
        <f t="shared" si="7"/>
        <v/>
      </c>
      <c r="V24" s="404"/>
      <c r="W24" s="405" t="str">
        <f t="shared" si="8"/>
        <v/>
      </c>
      <c r="X24" s="404"/>
      <c r="Y24" s="405" t="str">
        <f t="shared" si="9"/>
        <v/>
      </c>
      <c r="Z24" s="404"/>
      <c r="AA24" s="405" t="str">
        <f t="shared" si="10"/>
        <v/>
      </c>
      <c r="AB24" s="404"/>
      <c r="AC24" s="405" t="str">
        <f t="shared" si="11"/>
        <v/>
      </c>
      <c r="AD24" s="404"/>
      <c r="AE24" s="405" t="str">
        <f t="shared" si="12"/>
        <v/>
      </c>
      <c r="AF24" s="404"/>
      <c r="AG24" s="405" t="str">
        <f t="shared" si="13"/>
        <v/>
      </c>
      <c r="AH24" s="404"/>
      <c r="AI24" s="405" t="str">
        <f t="shared" si="14"/>
        <v/>
      </c>
      <c r="AJ24" s="404"/>
      <c r="AK24" s="405" t="str">
        <f t="shared" si="15"/>
        <v/>
      </c>
      <c r="AL24" s="404"/>
      <c r="AM24" s="405" t="str">
        <f t="shared" si="16"/>
        <v/>
      </c>
      <c r="AN24" s="404"/>
      <c r="AO24" s="405" t="str">
        <f t="shared" si="17"/>
        <v/>
      </c>
      <c r="AP24" s="404"/>
      <c r="AQ24" s="405" t="str">
        <f t="shared" si="18"/>
        <v/>
      </c>
    </row>
    <row r="25" spans="1:43" x14ac:dyDescent="0.35">
      <c r="A25" s="396"/>
      <c r="B25">
        <v>1.18</v>
      </c>
      <c r="D25" s="407">
        <v>7439</v>
      </c>
      <c r="E25" s="405">
        <f t="shared" si="0"/>
        <v>6304.2372881355932</v>
      </c>
      <c r="F25" s="407"/>
      <c r="G25" s="405" t="str">
        <f t="shared" si="0"/>
        <v/>
      </c>
      <c r="H25" s="407"/>
      <c r="I25" s="405" t="str">
        <f t="shared" si="1"/>
        <v/>
      </c>
      <c r="J25" s="407"/>
      <c r="K25" s="405" t="str">
        <f t="shared" si="2"/>
        <v/>
      </c>
      <c r="L25" s="407"/>
      <c r="M25" s="405" t="str">
        <f t="shared" si="3"/>
        <v/>
      </c>
      <c r="N25" s="407"/>
      <c r="O25" s="405" t="str">
        <f t="shared" si="4"/>
        <v/>
      </c>
      <c r="P25" s="407">
        <v>9</v>
      </c>
      <c r="Q25" s="405">
        <f t="shared" si="5"/>
        <v>7.6271186440677967</v>
      </c>
      <c r="R25" s="407"/>
      <c r="S25" s="405" t="str">
        <f t="shared" si="6"/>
        <v/>
      </c>
      <c r="T25" s="407"/>
      <c r="U25" s="405" t="str">
        <f t="shared" si="7"/>
        <v/>
      </c>
      <c r="V25" s="407"/>
      <c r="W25" s="405" t="str">
        <f t="shared" si="8"/>
        <v/>
      </c>
      <c r="X25" s="407"/>
      <c r="Y25" s="405" t="str">
        <f t="shared" si="9"/>
        <v/>
      </c>
      <c r="Z25" s="407">
        <v>80</v>
      </c>
      <c r="AA25" s="405">
        <f t="shared" si="10"/>
        <v>67.79661016949153</v>
      </c>
      <c r="AB25" s="407"/>
      <c r="AC25" s="405" t="str">
        <f t="shared" si="11"/>
        <v/>
      </c>
      <c r="AD25" s="407"/>
      <c r="AE25" s="405" t="str">
        <f t="shared" si="12"/>
        <v/>
      </c>
      <c r="AF25" s="407"/>
      <c r="AG25" s="405" t="str">
        <f t="shared" si="13"/>
        <v/>
      </c>
      <c r="AH25" s="407"/>
      <c r="AI25" s="405" t="str">
        <f t="shared" si="14"/>
        <v/>
      </c>
      <c r="AJ25" s="407">
        <v>99</v>
      </c>
      <c r="AK25" s="405">
        <f t="shared" si="15"/>
        <v>83.898305084745772</v>
      </c>
      <c r="AL25" s="407"/>
      <c r="AM25" s="405" t="str">
        <f t="shared" si="16"/>
        <v/>
      </c>
      <c r="AN25" s="407">
        <v>235</v>
      </c>
      <c r="AO25" s="405">
        <f t="shared" si="17"/>
        <v>199.15254237288136</v>
      </c>
      <c r="AP25" s="407">
        <v>423</v>
      </c>
      <c r="AQ25" s="405">
        <f t="shared" si="18"/>
        <v>358.47457627118644</v>
      </c>
    </row>
    <row r="26" spans="1:43" x14ac:dyDescent="0.35">
      <c r="A26" s="394" t="s">
        <v>481</v>
      </c>
      <c r="B26" s="395">
        <v>22.98</v>
      </c>
      <c r="D26" s="404">
        <v>4617</v>
      </c>
      <c r="E26" s="405">
        <f t="shared" si="0"/>
        <v>200.91383812010443</v>
      </c>
      <c r="F26" s="404"/>
      <c r="G26" s="405" t="str">
        <f t="shared" si="0"/>
        <v/>
      </c>
      <c r="H26" s="404"/>
      <c r="I26" s="405" t="str">
        <f t="shared" si="1"/>
        <v/>
      </c>
      <c r="J26" s="404"/>
      <c r="K26" s="405" t="str">
        <f t="shared" si="2"/>
        <v/>
      </c>
      <c r="L26" s="404">
        <v>664180</v>
      </c>
      <c r="M26" s="405">
        <f t="shared" si="3"/>
        <v>28902.523933855526</v>
      </c>
      <c r="N26" s="404">
        <v>1765</v>
      </c>
      <c r="O26" s="405">
        <f t="shared" si="4"/>
        <v>76.805918189730193</v>
      </c>
      <c r="P26" s="404">
        <v>3256</v>
      </c>
      <c r="Q26" s="405">
        <f t="shared" si="5"/>
        <v>141.68842471714535</v>
      </c>
      <c r="R26" s="404"/>
      <c r="S26" s="405" t="str">
        <f t="shared" si="6"/>
        <v/>
      </c>
      <c r="T26" s="404"/>
      <c r="U26" s="405" t="str">
        <f t="shared" si="7"/>
        <v/>
      </c>
      <c r="V26" s="404"/>
      <c r="W26" s="405" t="str">
        <f t="shared" si="8"/>
        <v/>
      </c>
      <c r="X26" s="404"/>
      <c r="Y26" s="405" t="str">
        <f t="shared" si="9"/>
        <v/>
      </c>
      <c r="Z26" s="404"/>
      <c r="AA26" s="405" t="str">
        <f t="shared" si="10"/>
        <v/>
      </c>
      <c r="AB26" s="404"/>
      <c r="AC26" s="405" t="str">
        <f t="shared" si="11"/>
        <v/>
      </c>
      <c r="AD26" s="404"/>
      <c r="AE26" s="405" t="str">
        <f t="shared" si="12"/>
        <v/>
      </c>
      <c r="AF26" s="404"/>
      <c r="AG26" s="405" t="str">
        <f t="shared" si="13"/>
        <v/>
      </c>
      <c r="AH26" s="404">
        <v>100</v>
      </c>
      <c r="AI26" s="405">
        <f t="shared" si="14"/>
        <v>4.3516100957354222</v>
      </c>
      <c r="AJ26" s="404">
        <v>40638</v>
      </c>
      <c r="AK26" s="405">
        <f t="shared" si="15"/>
        <v>1768.4073107049608</v>
      </c>
      <c r="AL26" s="404"/>
      <c r="AM26" s="405" t="str">
        <f t="shared" si="16"/>
        <v/>
      </c>
      <c r="AN26" s="404"/>
      <c r="AO26" s="405" t="str">
        <f t="shared" si="17"/>
        <v/>
      </c>
      <c r="AP26" s="404">
        <v>709939</v>
      </c>
      <c r="AQ26" s="405">
        <f t="shared" si="18"/>
        <v>30893.777197563097</v>
      </c>
    </row>
    <row r="27" spans="1:43" x14ac:dyDescent="0.35">
      <c r="A27" s="394" t="s">
        <v>482</v>
      </c>
      <c r="B27" s="395">
        <v>138.07</v>
      </c>
      <c r="D27" s="404">
        <v>706249.39</v>
      </c>
      <c r="E27" s="405">
        <f t="shared" si="0"/>
        <v>5115.1545592815246</v>
      </c>
      <c r="F27" s="404">
        <v>52888.42</v>
      </c>
      <c r="G27" s="405">
        <f t="shared" si="0"/>
        <v>383.05511696965306</v>
      </c>
      <c r="H27" s="404"/>
      <c r="I27" s="405" t="str">
        <f t="shared" si="1"/>
        <v/>
      </c>
      <c r="J27" s="404"/>
      <c r="K27" s="405" t="str">
        <f t="shared" si="2"/>
        <v/>
      </c>
      <c r="L27" s="404"/>
      <c r="M27" s="405" t="str">
        <f t="shared" si="3"/>
        <v/>
      </c>
      <c r="N27" s="404">
        <v>21237.31</v>
      </c>
      <c r="O27" s="405">
        <f t="shared" si="4"/>
        <v>153.81552835518218</v>
      </c>
      <c r="P27" s="404">
        <v>30809.62</v>
      </c>
      <c r="Q27" s="405">
        <f t="shared" si="5"/>
        <v>223.1449264865648</v>
      </c>
      <c r="R27" s="404">
        <v>439.47</v>
      </c>
      <c r="S27" s="405">
        <f t="shared" si="6"/>
        <v>3.1829506771927285</v>
      </c>
      <c r="T27" s="404"/>
      <c r="U27" s="405" t="str">
        <f t="shared" si="7"/>
        <v/>
      </c>
      <c r="V27" s="404"/>
      <c r="W27" s="405" t="str">
        <f t="shared" si="8"/>
        <v/>
      </c>
      <c r="X27" s="404"/>
      <c r="Y27" s="405" t="str">
        <f t="shared" si="9"/>
        <v/>
      </c>
      <c r="Z27" s="404"/>
      <c r="AA27" s="405" t="str">
        <f t="shared" si="10"/>
        <v/>
      </c>
      <c r="AB27" s="404"/>
      <c r="AC27" s="405" t="str">
        <f t="shared" si="11"/>
        <v/>
      </c>
      <c r="AD27" s="404"/>
      <c r="AE27" s="405" t="str">
        <f t="shared" si="12"/>
        <v/>
      </c>
      <c r="AF27" s="404"/>
      <c r="AG27" s="405" t="str">
        <f t="shared" si="13"/>
        <v/>
      </c>
      <c r="AH27" s="404"/>
      <c r="AI27" s="405" t="str">
        <f t="shared" si="14"/>
        <v/>
      </c>
      <c r="AJ27" s="404">
        <v>18083.810000000001</v>
      </c>
      <c r="AK27" s="405">
        <f t="shared" si="15"/>
        <v>130.97566451799813</v>
      </c>
      <c r="AL27" s="404"/>
      <c r="AM27" s="405" t="str">
        <f t="shared" si="16"/>
        <v/>
      </c>
      <c r="AN27" s="404">
        <v>6167.61</v>
      </c>
      <c r="AO27" s="405">
        <f t="shared" si="17"/>
        <v>44.670167306438763</v>
      </c>
      <c r="AP27" s="404">
        <v>129626.24000000001</v>
      </c>
      <c r="AQ27" s="405">
        <f t="shared" si="18"/>
        <v>938.84435431302973</v>
      </c>
    </row>
    <row r="28" spans="1:43" x14ac:dyDescent="0.35">
      <c r="A28" s="396"/>
      <c r="B28">
        <v>0.18</v>
      </c>
      <c r="D28" s="407"/>
      <c r="E28" s="405" t="str">
        <f t="shared" si="0"/>
        <v/>
      </c>
      <c r="F28" s="407"/>
      <c r="G28" s="405" t="str">
        <f t="shared" si="0"/>
        <v/>
      </c>
      <c r="H28" s="407"/>
      <c r="I28" s="405" t="str">
        <f t="shared" si="1"/>
        <v/>
      </c>
      <c r="J28" s="407"/>
      <c r="K28" s="405" t="str">
        <f t="shared" si="2"/>
        <v/>
      </c>
      <c r="L28" s="407"/>
      <c r="M28" s="405" t="str">
        <f t="shared" si="3"/>
        <v/>
      </c>
      <c r="N28" s="407"/>
      <c r="O28" s="405" t="str">
        <f t="shared" si="4"/>
        <v/>
      </c>
      <c r="P28" s="407"/>
      <c r="Q28" s="405" t="str">
        <f t="shared" si="5"/>
        <v/>
      </c>
      <c r="R28" s="407"/>
      <c r="S28" s="405" t="str">
        <f t="shared" si="6"/>
        <v/>
      </c>
      <c r="T28" s="407"/>
      <c r="U28" s="405" t="str">
        <f t="shared" si="7"/>
        <v/>
      </c>
      <c r="V28" s="407"/>
      <c r="W28" s="405" t="str">
        <f t="shared" si="8"/>
        <v/>
      </c>
      <c r="X28" s="407"/>
      <c r="Y28" s="405" t="str">
        <f t="shared" si="9"/>
        <v/>
      </c>
      <c r="Z28" s="407"/>
      <c r="AA28" s="405" t="str">
        <f t="shared" si="10"/>
        <v/>
      </c>
      <c r="AB28" s="407"/>
      <c r="AC28" s="405" t="str">
        <f t="shared" si="11"/>
        <v/>
      </c>
      <c r="AD28" s="407"/>
      <c r="AE28" s="405" t="str">
        <f t="shared" si="12"/>
        <v/>
      </c>
      <c r="AF28" s="407"/>
      <c r="AG28" s="405" t="str">
        <f t="shared" si="13"/>
        <v/>
      </c>
      <c r="AH28" s="407"/>
      <c r="AI28" s="405" t="str">
        <f t="shared" si="14"/>
        <v/>
      </c>
      <c r="AJ28" s="407">
        <v>62</v>
      </c>
      <c r="AK28" s="405">
        <f t="shared" si="15"/>
        <v>344.44444444444446</v>
      </c>
      <c r="AL28" s="407"/>
      <c r="AM28" s="405" t="str">
        <f t="shared" si="16"/>
        <v/>
      </c>
      <c r="AN28" s="407"/>
      <c r="AO28" s="405" t="str">
        <f t="shared" si="17"/>
        <v/>
      </c>
      <c r="AP28" s="407">
        <v>62</v>
      </c>
      <c r="AQ28" s="405">
        <f t="shared" si="18"/>
        <v>344.44444444444446</v>
      </c>
    </row>
    <row r="29" spans="1:43" x14ac:dyDescent="0.35">
      <c r="A29" s="394" t="s">
        <v>423</v>
      </c>
      <c r="B29" s="395">
        <v>291.12</v>
      </c>
      <c r="D29" s="404">
        <v>2321804</v>
      </c>
      <c r="E29" s="405">
        <f t="shared" ref="E29:G44" si="19">IF(OR($B29=0,D29=0),"",D29/$B29)</f>
        <v>7975.4190711733991</v>
      </c>
      <c r="F29" s="404">
        <v>4134</v>
      </c>
      <c r="G29" s="405">
        <f t="shared" si="19"/>
        <v>14.20032976092333</v>
      </c>
      <c r="H29" s="404">
        <v>2200</v>
      </c>
      <c r="I29" s="405">
        <f t="shared" si="1"/>
        <v>7.5570211596592474</v>
      </c>
      <c r="J29" s="404"/>
      <c r="K29" s="405" t="str">
        <f t="shared" si="2"/>
        <v/>
      </c>
      <c r="L29" s="404"/>
      <c r="M29" s="405" t="str">
        <f t="shared" si="3"/>
        <v/>
      </c>
      <c r="N29" s="404">
        <v>6890</v>
      </c>
      <c r="O29" s="405">
        <f t="shared" si="4"/>
        <v>23.66721626820555</v>
      </c>
      <c r="P29" s="404">
        <v>89318</v>
      </c>
      <c r="Q29" s="405">
        <f t="shared" si="5"/>
        <v>306.80818906292939</v>
      </c>
      <c r="R29" s="404">
        <v>7232</v>
      </c>
      <c r="S29" s="405">
        <f t="shared" si="6"/>
        <v>24.841989557570759</v>
      </c>
      <c r="T29" s="404">
        <v>64</v>
      </c>
      <c r="U29" s="405">
        <f t="shared" si="7"/>
        <v>0.21984061555372356</v>
      </c>
      <c r="V29" s="404"/>
      <c r="W29" s="405" t="str">
        <f t="shared" si="8"/>
        <v/>
      </c>
      <c r="X29" s="404"/>
      <c r="Y29" s="405" t="str">
        <f t="shared" si="9"/>
        <v/>
      </c>
      <c r="Z29" s="404">
        <v>17342</v>
      </c>
      <c r="AA29" s="405">
        <f t="shared" si="10"/>
        <v>59.569936795823025</v>
      </c>
      <c r="AB29" s="404"/>
      <c r="AC29" s="405" t="str">
        <f t="shared" si="11"/>
        <v/>
      </c>
      <c r="AD29" s="404">
        <v>11298</v>
      </c>
      <c r="AE29" s="405">
        <f t="shared" si="12"/>
        <v>38.808738664468258</v>
      </c>
      <c r="AF29" s="404"/>
      <c r="AG29" s="405" t="str">
        <f t="shared" si="13"/>
        <v/>
      </c>
      <c r="AH29" s="404"/>
      <c r="AI29" s="405" t="str">
        <f t="shared" si="14"/>
        <v/>
      </c>
      <c r="AJ29" s="404"/>
      <c r="AK29" s="405" t="str">
        <f t="shared" si="15"/>
        <v/>
      </c>
      <c r="AL29" s="404"/>
      <c r="AM29" s="405" t="str">
        <f t="shared" si="16"/>
        <v/>
      </c>
      <c r="AN29" s="404"/>
      <c r="AO29" s="405" t="str">
        <f t="shared" si="17"/>
        <v/>
      </c>
      <c r="AP29" s="404">
        <v>138478</v>
      </c>
      <c r="AQ29" s="405">
        <f t="shared" si="18"/>
        <v>475.67326188513329</v>
      </c>
    </row>
    <row r="30" spans="1:43" x14ac:dyDescent="0.35">
      <c r="A30" s="394" t="s">
        <v>483</v>
      </c>
      <c r="B30" s="395">
        <v>4.24881625</v>
      </c>
      <c r="D30" s="404">
        <v>27978</v>
      </c>
      <c r="E30" s="405">
        <f t="shared" si="19"/>
        <v>6584.8929098781337</v>
      </c>
      <c r="F30" s="404">
        <v>17128</v>
      </c>
      <c r="G30" s="405">
        <f t="shared" si="19"/>
        <v>4031.2404660945272</v>
      </c>
      <c r="H30" s="404"/>
      <c r="I30" s="405" t="str">
        <f t="shared" si="1"/>
        <v/>
      </c>
      <c r="J30" s="404"/>
      <c r="K30" s="405" t="str">
        <f t="shared" si="2"/>
        <v/>
      </c>
      <c r="L30" s="404"/>
      <c r="M30" s="405" t="str">
        <f t="shared" si="3"/>
        <v/>
      </c>
      <c r="N30" s="404">
        <v>776</v>
      </c>
      <c r="O30" s="405">
        <f t="shared" si="4"/>
        <v>182.63910565678145</v>
      </c>
      <c r="P30" s="404">
        <v>4276</v>
      </c>
      <c r="Q30" s="405">
        <f t="shared" si="5"/>
        <v>1006.397958490203</v>
      </c>
      <c r="R30" s="404"/>
      <c r="S30" s="405" t="str">
        <f t="shared" si="6"/>
        <v/>
      </c>
      <c r="T30" s="404"/>
      <c r="U30" s="405" t="str">
        <f t="shared" si="7"/>
        <v/>
      </c>
      <c r="V30" s="404"/>
      <c r="W30" s="405" t="str">
        <f t="shared" si="8"/>
        <v/>
      </c>
      <c r="X30" s="404"/>
      <c r="Y30" s="405" t="str">
        <f t="shared" si="9"/>
        <v/>
      </c>
      <c r="Z30" s="404"/>
      <c r="AA30" s="405" t="str">
        <f t="shared" si="10"/>
        <v/>
      </c>
      <c r="AB30" s="404"/>
      <c r="AC30" s="405" t="str">
        <f t="shared" si="11"/>
        <v/>
      </c>
      <c r="AD30" s="404"/>
      <c r="AE30" s="405" t="str">
        <f t="shared" si="12"/>
        <v/>
      </c>
      <c r="AF30" s="404"/>
      <c r="AG30" s="405" t="str">
        <f t="shared" si="13"/>
        <v/>
      </c>
      <c r="AH30" s="404"/>
      <c r="AI30" s="405" t="str">
        <f t="shared" si="14"/>
        <v/>
      </c>
      <c r="AJ30" s="404">
        <v>178</v>
      </c>
      <c r="AK30" s="405">
        <f t="shared" si="15"/>
        <v>41.894021658385441</v>
      </c>
      <c r="AL30" s="404"/>
      <c r="AM30" s="405" t="str">
        <f t="shared" si="16"/>
        <v/>
      </c>
      <c r="AN30" s="404"/>
      <c r="AO30" s="405" t="str">
        <f t="shared" si="17"/>
        <v/>
      </c>
      <c r="AP30" s="404">
        <v>22358</v>
      </c>
      <c r="AQ30" s="405">
        <f t="shared" si="18"/>
        <v>5262.1715518998972</v>
      </c>
    </row>
    <row r="31" spans="1:43" x14ac:dyDescent="0.35">
      <c r="A31" s="394" t="s">
        <v>424</v>
      </c>
      <c r="B31" s="395">
        <v>0.6</v>
      </c>
      <c r="D31" s="404">
        <v>2248</v>
      </c>
      <c r="E31" s="405">
        <f t="shared" si="19"/>
        <v>3746.666666666667</v>
      </c>
      <c r="F31" s="404"/>
      <c r="G31" s="405" t="str">
        <f t="shared" si="19"/>
        <v/>
      </c>
      <c r="H31" s="404"/>
      <c r="I31" s="405" t="str">
        <f t="shared" si="1"/>
        <v/>
      </c>
      <c r="J31" s="404"/>
      <c r="K31" s="405" t="str">
        <f t="shared" si="2"/>
        <v/>
      </c>
      <c r="L31" s="404"/>
      <c r="M31" s="405" t="str">
        <f t="shared" si="3"/>
        <v/>
      </c>
      <c r="N31" s="404"/>
      <c r="O31" s="405" t="str">
        <f t="shared" si="4"/>
        <v/>
      </c>
      <c r="P31" s="404"/>
      <c r="Q31" s="405" t="str">
        <f t="shared" si="5"/>
        <v/>
      </c>
      <c r="R31" s="404"/>
      <c r="S31" s="405" t="str">
        <f t="shared" si="6"/>
        <v/>
      </c>
      <c r="T31" s="404"/>
      <c r="U31" s="405" t="str">
        <f t="shared" si="7"/>
        <v/>
      </c>
      <c r="V31" s="404"/>
      <c r="W31" s="405" t="str">
        <f t="shared" si="8"/>
        <v/>
      </c>
      <c r="X31" s="404"/>
      <c r="Y31" s="405" t="str">
        <f t="shared" si="9"/>
        <v/>
      </c>
      <c r="Z31" s="404"/>
      <c r="AA31" s="405" t="str">
        <f t="shared" si="10"/>
        <v/>
      </c>
      <c r="AB31" s="404"/>
      <c r="AC31" s="405" t="str">
        <f t="shared" si="11"/>
        <v/>
      </c>
      <c r="AD31" s="404"/>
      <c r="AE31" s="405" t="str">
        <f t="shared" si="12"/>
        <v/>
      </c>
      <c r="AF31" s="404"/>
      <c r="AG31" s="405" t="str">
        <f t="shared" si="13"/>
        <v/>
      </c>
      <c r="AH31" s="404"/>
      <c r="AI31" s="405" t="str">
        <f t="shared" si="14"/>
        <v/>
      </c>
      <c r="AJ31" s="404">
        <v>932</v>
      </c>
      <c r="AK31" s="405">
        <f t="shared" si="15"/>
        <v>1553.3333333333335</v>
      </c>
      <c r="AL31" s="404"/>
      <c r="AM31" s="405" t="str">
        <f t="shared" si="16"/>
        <v/>
      </c>
      <c r="AN31" s="404"/>
      <c r="AO31" s="405" t="str">
        <f t="shared" si="17"/>
        <v/>
      </c>
      <c r="AP31" s="404">
        <v>932</v>
      </c>
      <c r="AQ31" s="405">
        <f t="shared" si="18"/>
        <v>1553.3333333333335</v>
      </c>
    </row>
    <row r="32" spans="1:43" x14ac:dyDescent="0.35">
      <c r="A32" s="396"/>
      <c r="B32">
        <v>1.59</v>
      </c>
      <c r="D32" s="407">
        <v>10624</v>
      </c>
      <c r="E32" s="405">
        <f t="shared" si="19"/>
        <v>6681.7610062893082</v>
      </c>
      <c r="F32" s="407"/>
      <c r="G32" s="405" t="str">
        <f t="shared" si="19"/>
        <v/>
      </c>
      <c r="H32" s="407"/>
      <c r="I32" s="405" t="str">
        <f t="shared" si="1"/>
        <v/>
      </c>
      <c r="J32" s="407"/>
      <c r="K32" s="405" t="str">
        <f t="shared" si="2"/>
        <v/>
      </c>
      <c r="L32" s="407"/>
      <c r="M32" s="405" t="str">
        <f t="shared" si="3"/>
        <v/>
      </c>
      <c r="N32" s="407">
        <v>2</v>
      </c>
      <c r="O32" s="405">
        <f t="shared" si="4"/>
        <v>1.2578616352201257</v>
      </c>
      <c r="P32" s="407">
        <v>1592</v>
      </c>
      <c r="Q32" s="405">
        <f t="shared" si="5"/>
        <v>1001.25786163522</v>
      </c>
      <c r="R32" s="407">
        <v>18</v>
      </c>
      <c r="S32" s="405">
        <f t="shared" si="6"/>
        <v>11.320754716981131</v>
      </c>
      <c r="T32" s="407"/>
      <c r="U32" s="405" t="str">
        <f t="shared" si="7"/>
        <v/>
      </c>
      <c r="V32" s="407">
        <v>2</v>
      </c>
      <c r="W32" s="405">
        <f t="shared" si="8"/>
        <v>1.2578616352201257</v>
      </c>
      <c r="X32" s="407"/>
      <c r="Y32" s="405" t="str">
        <f t="shared" si="9"/>
        <v/>
      </c>
      <c r="Z32" s="407"/>
      <c r="AA32" s="405" t="str">
        <f t="shared" si="10"/>
        <v/>
      </c>
      <c r="AB32" s="407">
        <v>39</v>
      </c>
      <c r="AC32" s="405">
        <f t="shared" si="11"/>
        <v>24.528301886792452</v>
      </c>
      <c r="AD32" s="407"/>
      <c r="AE32" s="405" t="str">
        <f t="shared" si="12"/>
        <v/>
      </c>
      <c r="AF32" s="407"/>
      <c r="AG32" s="405" t="str">
        <f t="shared" si="13"/>
        <v/>
      </c>
      <c r="AH32" s="407"/>
      <c r="AI32" s="405" t="str">
        <f t="shared" si="14"/>
        <v/>
      </c>
      <c r="AJ32" s="407">
        <v>18</v>
      </c>
      <c r="AK32" s="405">
        <f t="shared" si="15"/>
        <v>11.320754716981131</v>
      </c>
      <c r="AL32" s="407"/>
      <c r="AM32" s="405" t="str">
        <f t="shared" si="16"/>
        <v/>
      </c>
      <c r="AN32" s="407"/>
      <c r="AO32" s="405" t="str">
        <f t="shared" si="17"/>
        <v/>
      </c>
      <c r="AP32" s="407">
        <v>1671</v>
      </c>
      <c r="AQ32" s="405">
        <f t="shared" si="18"/>
        <v>1050.943396226415</v>
      </c>
    </row>
    <row r="33" spans="1:43" x14ac:dyDescent="0.35">
      <c r="A33" s="394" t="s">
        <v>425</v>
      </c>
      <c r="B33" s="395">
        <v>7.7</v>
      </c>
      <c r="D33" s="404">
        <v>15998</v>
      </c>
      <c r="E33" s="405">
        <f t="shared" si="19"/>
        <v>2077.6623376623374</v>
      </c>
      <c r="F33" s="404"/>
      <c r="G33" s="405" t="str">
        <f t="shared" si="19"/>
        <v/>
      </c>
      <c r="H33" s="404"/>
      <c r="I33" s="405" t="str">
        <f t="shared" si="1"/>
        <v/>
      </c>
      <c r="J33" s="404"/>
      <c r="K33" s="405" t="str">
        <f t="shared" si="2"/>
        <v/>
      </c>
      <c r="L33" s="404"/>
      <c r="M33" s="405" t="str">
        <f t="shared" si="3"/>
        <v/>
      </c>
      <c r="N33" s="404">
        <v>1160</v>
      </c>
      <c r="O33" s="405">
        <f t="shared" si="4"/>
        <v>150.64935064935065</v>
      </c>
      <c r="P33" s="404"/>
      <c r="Q33" s="405" t="str">
        <f t="shared" si="5"/>
        <v/>
      </c>
      <c r="R33" s="404">
        <v>66</v>
      </c>
      <c r="S33" s="405">
        <f t="shared" si="6"/>
        <v>8.5714285714285712</v>
      </c>
      <c r="T33" s="404"/>
      <c r="U33" s="405" t="str">
        <f t="shared" si="7"/>
        <v/>
      </c>
      <c r="V33" s="404"/>
      <c r="W33" s="405" t="str">
        <f t="shared" si="8"/>
        <v/>
      </c>
      <c r="X33" s="404"/>
      <c r="Y33" s="405" t="str">
        <f t="shared" si="9"/>
        <v/>
      </c>
      <c r="Z33" s="404"/>
      <c r="AA33" s="405" t="str">
        <f t="shared" si="10"/>
        <v/>
      </c>
      <c r="AB33" s="404"/>
      <c r="AC33" s="405" t="str">
        <f t="shared" si="11"/>
        <v/>
      </c>
      <c r="AD33" s="404"/>
      <c r="AE33" s="405" t="str">
        <f t="shared" si="12"/>
        <v/>
      </c>
      <c r="AF33" s="404"/>
      <c r="AG33" s="405" t="str">
        <f t="shared" si="13"/>
        <v/>
      </c>
      <c r="AH33" s="404"/>
      <c r="AI33" s="405" t="str">
        <f t="shared" si="14"/>
        <v/>
      </c>
      <c r="AJ33" s="404"/>
      <c r="AK33" s="405" t="str">
        <f t="shared" si="15"/>
        <v/>
      </c>
      <c r="AL33" s="404"/>
      <c r="AM33" s="405" t="str">
        <f t="shared" si="16"/>
        <v/>
      </c>
      <c r="AN33" s="404"/>
      <c r="AO33" s="405" t="str">
        <f t="shared" si="17"/>
        <v/>
      </c>
      <c r="AP33" s="404">
        <v>1226</v>
      </c>
      <c r="AQ33" s="405">
        <f t="shared" si="18"/>
        <v>159.22077922077921</v>
      </c>
    </row>
    <row r="34" spans="1:43" x14ac:dyDescent="0.35">
      <c r="A34" s="394" t="s">
        <v>484</v>
      </c>
      <c r="B34" s="395">
        <v>3.66</v>
      </c>
      <c r="D34" s="404"/>
      <c r="E34" s="405" t="str">
        <f t="shared" si="19"/>
        <v/>
      </c>
      <c r="F34" s="404"/>
      <c r="G34" s="405" t="str">
        <f t="shared" si="19"/>
        <v/>
      </c>
      <c r="H34" s="404"/>
      <c r="I34" s="405" t="str">
        <f t="shared" si="1"/>
        <v/>
      </c>
      <c r="J34" s="404"/>
      <c r="K34" s="405" t="str">
        <f t="shared" si="2"/>
        <v/>
      </c>
      <c r="L34" s="404"/>
      <c r="M34" s="405" t="str">
        <f t="shared" si="3"/>
        <v/>
      </c>
      <c r="N34" s="404"/>
      <c r="O34" s="405" t="str">
        <f t="shared" si="4"/>
        <v/>
      </c>
      <c r="P34" s="404"/>
      <c r="Q34" s="405" t="str">
        <f t="shared" si="5"/>
        <v/>
      </c>
      <c r="R34" s="404"/>
      <c r="S34" s="405" t="str">
        <f t="shared" si="6"/>
        <v/>
      </c>
      <c r="T34" s="404"/>
      <c r="U34" s="405" t="str">
        <f t="shared" si="7"/>
        <v/>
      </c>
      <c r="V34" s="404"/>
      <c r="W34" s="405" t="str">
        <f t="shared" si="8"/>
        <v/>
      </c>
      <c r="X34" s="404"/>
      <c r="Y34" s="405" t="str">
        <f t="shared" si="9"/>
        <v/>
      </c>
      <c r="Z34" s="404"/>
      <c r="AA34" s="405" t="str">
        <f t="shared" si="10"/>
        <v/>
      </c>
      <c r="AB34" s="404"/>
      <c r="AC34" s="405" t="str">
        <f t="shared" si="11"/>
        <v/>
      </c>
      <c r="AD34" s="404"/>
      <c r="AE34" s="405" t="str">
        <f t="shared" si="12"/>
        <v/>
      </c>
      <c r="AF34" s="404"/>
      <c r="AG34" s="405" t="str">
        <f t="shared" si="13"/>
        <v/>
      </c>
      <c r="AH34" s="404"/>
      <c r="AI34" s="405" t="str">
        <f t="shared" si="14"/>
        <v/>
      </c>
      <c r="AJ34" s="404"/>
      <c r="AK34" s="405" t="str">
        <f t="shared" si="15"/>
        <v/>
      </c>
      <c r="AL34" s="404"/>
      <c r="AM34" s="405" t="str">
        <f t="shared" si="16"/>
        <v/>
      </c>
      <c r="AN34" s="404"/>
      <c r="AO34" s="405" t="str">
        <f t="shared" si="17"/>
        <v/>
      </c>
      <c r="AP34" s="404"/>
      <c r="AQ34" s="405" t="str">
        <f t="shared" si="18"/>
        <v/>
      </c>
    </row>
    <row r="35" spans="1:43" x14ac:dyDescent="0.35">
      <c r="A35" s="394" t="s">
        <v>485</v>
      </c>
      <c r="B35" s="395">
        <v>21.69</v>
      </c>
      <c r="D35" s="404">
        <v>249888</v>
      </c>
      <c r="E35" s="405">
        <f t="shared" si="19"/>
        <v>11520.88520055325</v>
      </c>
      <c r="F35" s="404"/>
      <c r="G35" s="405" t="str">
        <f t="shared" si="19"/>
        <v/>
      </c>
      <c r="H35" s="404"/>
      <c r="I35" s="405" t="str">
        <f t="shared" si="1"/>
        <v/>
      </c>
      <c r="J35" s="404"/>
      <c r="K35" s="405" t="str">
        <f t="shared" si="2"/>
        <v/>
      </c>
      <c r="L35" s="404"/>
      <c r="M35" s="405" t="str">
        <f t="shared" si="3"/>
        <v/>
      </c>
      <c r="N35" s="404">
        <v>8974</v>
      </c>
      <c r="O35" s="405">
        <f t="shared" si="4"/>
        <v>413.73905025357305</v>
      </c>
      <c r="P35" s="404">
        <v>8656</v>
      </c>
      <c r="Q35" s="405">
        <f t="shared" si="5"/>
        <v>399.07791609036423</v>
      </c>
      <c r="R35" s="404">
        <v>9812</v>
      </c>
      <c r="S35" s="405">
        <f t="shared" si="6"/>
        <v>452.37436606731211</v>
      </c>
      <c r="T35" s="404"/>
      <c r="U35" s="405" t="str">
        <f t="shared" si="7"/>
        <v/>
      </c>
      <c r="V35" s="404">
        <v>688</v>
      </c>
      <c r="W35" s="405">
        <f t="shared" si="8"/>
        <v>31.719686491470721</v>
      </c>
      <c r="X35" s="404"/>
      <c r="Y35" s="405" t="str">
        <f t="shared" si="9"/>
        <v/>
      </c>
      <c r="Z35" s="404"/>
      <c r="AA35" s="405" t="str">
        <f t="shared" si="10"/>
        <v/>
      </c>
      <c r="AB35" s="404"/>
      <c r="AC35" s="405" t="str">
        <f t="shared" si="11"/>
        <v/>
      </c>
      <c r="AD35" s="404"/>
      <c r="AE35" s="405" t="str">
        <f t="shared" si="12"/>
        <v/>
      </c>
      <c r="AF35" s="404"/>
      <c r="AG35" s="405" t="str">
        <f t="shared" si="13"/>
        <v/>
      </c>
      <c r="AH35" s="404"/>
      <c r="AI35" s="405" t="str">
        <f t="shared" si="14"/>
        <v/>
      </c>
      <c r="AJ35" s="404">
        <v>2347111</v>
      </c>
      <c r="AK35" s="405">
        <f t="shared" si="15"/>
        <v>108211.66436145689</v>
      </c>
      <c r="AL35" s="404"/>
      <c r="AM35" s="405" t="str">
        <f t="shared" si="16"/>
        <v/>
      </c>
      <c r="AN35" s="404"/>
      <c r="AO35" s="405" t="str">
        <f t="shared" si="17"/>
        <v/>
      </c>
      <c r="AP35" s="404">
        <v>2375241</v>
      </c>
      <c r="AQ35" s="405">
        <f t="shared" si="18"/>
        <v>109508.5753803596</v>
      </c>
    </row>
    <row r="36" spans="1:43" x14ac:dyDescent="0.35">
      <c r="A36" s="394" t="s">
        <v>486</v>
      </c>
      <c r="B36" s="395">
        <v>53.16</v>
      </c>
      <c r="D36" s="404">
        <v>449085</v>
      </c>
      <c r="E36" s="405">
        <f t="shared" si="19"/>
        <v>8447.7990970654628</v>
      </c>
      <c r="F36" s="404"/>
      <c r="G36" s="405" t="str">
        <f t="shared" si="19"/>
        <v/>
      </c>
      <c r="H36" s="404"/>
      <c r="I36" s="405" t="str">
        <f t="shared" si="1"/>
        <v/>
      </c>
      <c r="J36" s="404"/>
      <c r="K36" s="405" t="str">
        <f t="shared" si="2"/>
        <v/>
      </c>
      <c r="L36" s="404"/>
      <c r="M36" s="405" t="str">
        <f t="shared" si="3"/>
        <v/>
      </c>
      <c r="N36" s="404"/>
      <c r="O36" s="405" t="str">
        <f t="shared" si="4"/>
        <v/>
      </c>
      <c r="P36" s="404"/>
      <c r="Q36" s="405" t="str">
        <f t="shared" si="5"/>
        <v/>
      </c>
      <c r="R36" s="404"/>
      <c r="S36" s="405" t="str">
        <f t="shared" si="6"/>
        <v/>
      </c>
      <c r="T36" s="404">
        <v>1333</v>
      </c>
      <c r="U36" s="405">
        <f t="shared" si="7"/>
        <v>25.075244544770506</v>
      </c>
      <c r="V36" s="404"/>
      <c r="W36" s="405" t="str">
        <f t="shared" si="8"/>
        <v/>
      </c>
      <c r="X36" s="404"/>
      <c r="Y36" s="405" t="str">
        <f t="shared" si="9"/>
        <v/>
      </c>
      <c r="Z36" s="404">
        <v>3602</v>
      </c>
      <c r="AA36" s="405">
        <f t="shared" si="10"/>
        <v>67.757712565838986</v>
      </c>
      <c r="AB36" s="404"/>
      <c r="AC36" s="405" t="str">
        <f t="shared" si="11"/>
        <v/>
      </c>
      <c r="AD36" s="404"/>
      <c r="AE36" s="405" t="str">
        <f t="shared" si="12"/>
        <v/>
      </c>
      <c r="AF36" s="404"/>
      <c r="AG36" s="405" t="str">
        <f t="shared" si="13"/>
        <v/>
      </c>
      <c r="AH36" s="404"/>
      <c r="AI36" s="405" t="str">
        <f t="shared" si="14"/>
        <v/>
      </c>
      <c r="AJ36" s="404">
        <v>17209</v>
      </c>
      <c r="AK36" s="405">
        <f t="shared" si="15"/>
        <v>323.72084273890147</v>
      </c>
      <c r="AL36" s="404"/>
      <c r="AM36" s="405" t="str">
        <f t="shared" si="16"/>
        <v/>
      </c>
      <c r="AN36" s="404">
        <v>2422232</v>
      </c>
      <c r="AO36" s="405">
        <f t="shared" si="17"/>
        <v>45564.936042136949</v>
      </c>
      <c r="AP36" s="404">
        <v>2444376</v>
      </c>
      <c r="AQ36" s="405">
        <f t="shared" si="18"/>
        <v>45981.489841986462</v>
      </c>
    </row>
    <row r="37" spans="1:43" x14ac:dyDescent="0.35">
      <c r="A37" s="396"/>
      <c r="B37">
        <v>58.48</v>
      </c>
      <c r="D37" s="407">
        <v>661373</v>
      </c>
      <c r="E37" s="405">
        <f t="shared" si="19"/>
        <v>11309.387824897402</v>
      </c>
      <c r="F37" s="407">
        <v>3089</v>
      </c>
      <c r="G37" s="405">
        <f t="shared" si="19"/>
        <v>52.821477428180579</v>
      </c>
      <c r="H37" s="407"/>
      <c r="I37" s="405" t="str">
        <f t="shared" si="1"/>
        <v/>
      </c>
      <c r="J37" s="407"/>
      <c r="K37" s="405" t="str">
        <f t="shared" si="2"/>
        <v/>
      </c>
      <c r="L37" s="407"/>
      <c r="M37" s="405" t="str">
        <f t="shared" si="3"/>
        <v/>
      </c>
      <c r="N37" s="407"/>
      <c r="O37" s="405" t="str">
        <f t="shared" si="4"/>
        <v/>
      </c>
      <c r="P37" s="407">
        <v>14005</v>
      </c>
      <c r="Q37" s="405">
        <f t="shared" si="5"/>
        <v>239.48358413132695</v>
      </c>
      <c r="R37" s="407">
        <v>47508</v>
      </c>
      <c r="S37" s="405">
        <f t="shared" si="6"/>
        <v>812.38030095759234</v>
      </c>
      <c r="T37" s="407"/>
      <c r="U37" s="405" t="str">
        <f t="shared" si="7"/>
        <v/>
      </c>
      <c r="V37" s="407"/>
      <c r="W37" s="405" t="str">
        <f t="shared" si="8"/>
        <v/>
      </c>
      <c r="X37" s="407"/>
      <c r="Y37" s="405" t="str">
        <f t="shared" si="9"/>
        <v/>
      </c>
      <c r="Z37" s="407"/>
      <c r="AA37" s="405" t="str">
        <f t="shared" si="10"/>
        <v/>
      </c>
      <c r="AB37" s="407"/>
      <c r="AC37" s="405" t="str">
        <f t="shared" si="11"/>
        <v/>
      </c>
      <c r="AD37" s="407"/>
      <c r="AE37" s="405" t="str">
        <f t="shared" si="12"/>
        <v/>
      </c>
      <c r="AF37" s="407"/>
      <c r="AG37" s="405" t="str">
        <f t="shared" si="13"/>
        <v/>
      </c>
      <c r="AH37" s="407"/>
      <c r="AI37" s="405" t="str">
        <f t="shared" si="14"/>
        <v/>
      </c>
      <c r="AJ37" s="407"/>
      <c r="AK37" s="405" t="str">
        <f t="shared" si="15"/>
        <v/>
      </c>
      <c r="AL37" s="407"/>
      <c r="AM37" s="405" t="str">
        <f t="shared" si="16"/>
        <v/>
      </c>
      <c r="AN37" s="407">
        <v>1092096</v>
      </c>
      <c r="AO37" s="405">
        <f t="shared" si="17"/>
        <v>18674.692202462382</v>
      </c>
      <c r="AP37" s="407">
        <v>1156698</v>
      </c>
      <c r="AQ37" s="405">
        <f t="shared" si="18"/>
        <v>19779.377564979481</v>
      </c>
    </row>
    <row r="38" spans="1:43" x14ac:dyDescent="0.35">
      <c r="A38" s="396"/>
      <c r="B38">
        <v>6.21</v>
      </c>
      <c r="D38" s="407"/>
      <c r="E38" s="405" t="str">
        <f t="shared" si="19"/>
        <v/>
      </c>
      <c r="F38" s="407"/>
      <c r="G38" s="405" t="str">
        <f t="shared" si="19"/>
        <v/>
      </c>
      <c r="H38" s="407"/>
      <c r="I38" s="405" t="str">
        <f t="shared" si="1"/>
        <v/>
      </c>
      <c r="J38" s="407"/>
      <c r="K38" s="405" t="str">
        <f t="shared" si="2"/>
        <v/>
      </c>
      <c r="L38" s="407"/>
      <c r="M38" s="405" t="str">
        <f t="shared" si="3"/>
        <v/>
      </c>
      <c r="N38" s="407"/>
      <c r="O38" s="405" t="str">
        <f t="shared" si="4"/>
        <v/>
      </c>
      <c r="P38" s="407">
        <v>5529</v>
      </c>
      <c r="Q38" s="405">
        <f t="shared" si="5"/>
        <v>890.33816425120779</v>
      </c>
      <c r="R38" s="407"/>
      <c r="S38" s="405" t="str">
        <f t="shared" si="6"/>
        <v/>
      </c>
      <c r="T38" s="407"/>
      <c r="U38" s="405" t="str">
        <f t="shared" si="7"/>
        <v/>
      </c>
      <c r="V38" s="407"/>
      <c r="W38" s="405" t="str">
        <f t="shared" si="8"/>
        <v/>
      </c>
      <c r="X38" s="407"/>
      <c r="Y38" s="405" t="str">
        <f t="shared" si="9"/>
        <v/>
      </c>
      <c r="Z38" s="407"/>
      <c r="AA38" s="405" t="str">
        <f t="shared" si="10"/>
        <v/>
      </c>
      <c r="AB38" s="407"/>
      <c r="AC38" s="405" t="str">
        <f t="shared" si="11"/>
        <v/>
      </c>
      <c r="AD38" s="407"/>
      <c r="AE38" s="405" t="str">
        <f t="shared" si="12"/>
        <v/>
      </c>
      <c r="AF38" s="407"/>
      <c r="AG38" s="405" t="str">
        <f t="shared" si="13"/>
        <v/>
      </c>
      <c r="AH38" s="407"/>
      <c r="AI38" s="405" t="str">
        <f t="shared" si="14"/>
        <v/>
      </c>
      <c r="AJ38" s="407"/>
      <c r="AK38" s="405" t="str">
        <f t="shared" si="15"/>
        <v/>
      </c>
      <c r="AL38" s="407"/>
      <c r="AM38" s="405" t="str">
        <f t="shared" si="16"/>
        <v/>
      </c>
      <c r="AN38" s="407">
        <v>214104</v>
      </c>
      <c r="AO38" s="405">
        <f t="shared" si="17"/>
        <v>34477.294685990339</v>
      </c>
      <c r="AP38" s="407">
        <v>219633</v>
      </c>
      <c r="AQ38" s="405">
        <f t="shared" si="18"/>
        <v>35367.632850241549</v>
      </c>
    </row>
    <row r="39" spans="1:43" x14ac:dyDescent="0.35">
      <c r="A39" s="394" t="s">
        <v>426</v>
      </c>
      <c r="B39" s="395">
        <v>4.2</v>
      </c>
      <c r="D39" s="404">
        <v>38405</v>
      </c>
      <c r="E39" s="405">
        <f t="shared" si="19"/>
        <v>9144.0476190476184</v>
      </c>
      <c r="F39" s="404"/>
      <c r="G39" s="405" t="str">
        <f t="shared" si="19"/>
        <v/>
      </c>
      <c r="H39" s="404"/>
      <c r="I39" s="405" t="str">
        <f t="shared" si="1"/>
        <v/>
      </c>
      <c r="J39" s="404"/>
      <c r="K39" s="405" t="str">
        <f t="shared" si="2"/>
        <v/>
      </c>
      <c r="L39" s="404"/>
      <c r="M39" s="405" t="str">
        <f t="shared" si="3"/>
        <v/>
      </c>
      <c r="N39" s="404"/>
      <c r="O39" s="405" t="str">
        <f t="shared" si="4"/>
        <v/>
      </c>
      <c r="P39" s="404">
        <v>1869</v>
      </c>
      <c r="Q39" s="405">
        <f t="shared" si="5"/>
        <v>445</v>
      </c>
      <c r="R39" s="404"/>
      <c r="S39" s="405" t="str">
        <f t="shared" si="6"/>
        <v/>
      </c>
      <c r="T39" s="404"/>
      <c r="U39" s="405" t="str">
        <f t="shared" si="7"/>
        <v/>
      </c>
      <c r="V39" s="404"/>
      <c r="W39" s="405" t="str">
        <f t="shared" si="8"/>
        <v/>
      </c>
      <c r="X39" s="404"/>
      <c r="Y39" s="405" t="str">
        <f t="shared" si="9"/>
        <v/>
      </c>
      <c r="Z39" s="404"/>
      <c r="AA39" s="405" t="str">
        <f t="shared" si="10"/>
        <v/>
      </c>
      <c r="AB39" s="404"/>
      <c r="AC39" s="405" t="str">
        <f t="shared" si="11"/>
        <v/>
      </c>
      <c r="AD39" s="404"/>
      <c r="AE39" s="405" t="str">
        <f t="shared" si="12"/>
        <v/>
      </c>
      <c r="AF39" s="404"/>
      <c r="AG39" s="405" t="str">
        <f t="shared" si="13"/>
        <v/>
      </c>
      <c r="AH39" s="404"/>
      <c r="AI39" s="405" t="str">
        <f t="shared" si="14"/>
        <v/>
      </c>
      <c r="AJ39" s="404">
        <v>112</v>
      </c>
      <c r="AK39" s="405">
        <f t="shared" si="15"/>
        <v>26.666666666666664</v>
      </c>
      <c r="AL39" s="404"/>
      <c r="AM39" s="405" t="str">
        <f t="shared" si="16"/>
        <v/>
      </c>
      <c r="AN39" s="404">
        <v>1992</v>
      </c>
      <c r="AO39" s="405">
        <f t="shared" si="17"/>
        <v>474.28571428571428</v>
      </c>
      <c r="AP39" s="404">
        <v>3973</v>
      </c>
      <c r="AQ39" s="405">
        <f t="shared" si="18"/>
        <v>945.95238095238096</v>
      </c>
    </row>
    <row r="40" spans="1:43" x14ac:dyDescent="0.35">
      <c r="A40" s="396"/>
      <c r="B40">
        <v>21.8</v>
      </c>
      <c r="D40" s="407">
        <v>383999</v>
      </c>
      <c r="E40" s="405">
        <f t="shared" si="19"/>
        <v>17614.633027522934</v>
      </c>
      <c r="F40" s="407"/>
      <c r="G40" s="405" t="str">
        <f t="shared" si="19"/>
        <v/>
      </c>
      <c r="H40" s="407"/>
      <c r="I40" s="405" t="str">
        <f t="shared" si="1"/>
        <v/>
      </c>
      <c r="J40" s="407"/>
      <c r="K40" s="405" t="str">
        <f t="shared" si="2"/>
        <v/>
      </c>
      <c r="L40" s="407">
        <v>212563</v>
      </c>
      <c r="M40" s="405">
        <f t="shared" si="3"/>
        <v>9750.5963302752298</v>
      </c>
      <c r="N40" s="407">
        <v>749</v>
      </c>
      <c r="O40" s="405">
        <f t="shared" si="4"/>
        <v>34.357798165137616</v>
      </c>
      <c r="P40" s="407">
        <v>979</v>
      </c>
      <c r="Q40" s="405">
        <f t="shared" si="5"/>
        <v>44.908256880733944</v>
      </c>
      <c r="R40" s="407">
        <v>74</v>
      </c>
      <c r="S40" s="405">
        <f t="shared" si="6"/>
        <v>3.3944954128440368</v>
      </c>
      <c r="T40" s="407">
        <v>74</v>
      </c>
      <c r="U40" s="405">
        <f t="shared" si="7"/>
        <v>3.3944954128440368</v>
      </c>
      <c r="V40" s="407">
        <v>156</v>
      </c>
      <c r="W40" s="405">
        <f t="shared" si="8"/>
        <v>7.1559633027522933</v>
      </c>
      <c r="X40" s="407"/>
      <c r="Y40" s="405" t="str">
        <f t="shared" si="9"/>
        <v/>
      </c>
      <c r="Z40" s="407">
        <v>194082</v>
      </c>
      <c r="AA40" s="405">
        <f t="shared" si="10"/>
        <v>8902.8440366972482</v>
      </c>
      <c r="AB40" s="407"/>
      <c r="AC40" s="405" t="str">
        <f t="shared" si="11"/>
        <v/>
      </c>
      <c r="AD40" s="407"/>
      <c r="AE40" s="405" t="str">
        <f t="shared" si="12"/>
        <v/>
      </c>
      <c r="AF40" s="407"/>
      <c r="AG40" s="405" t="str">
        <f t="shared" si="13"/>
        <v/>
      </c>
      <c r="AH40" s="407"/>
      <c r="AI40" s="405" t="str">
        <f t="shared" si="14"/>
        <v/>
      </c>
      <c r="AJ40" s="407">
        <v>5707</v>
      </c>
      <c r="AK40" s="405">
        <f t="shared" si="15"/>
        <v>261.78899082568807</v>
      </c>
      <c r="AL40" s="407"/>
      <c r="AM40" s="405" t="str">
        <f t="shared" si="16"/>
        <v/>
      </c>
      <c r="AN40" s="407">
        <v>8000</v>
      </c>
      <c r="AO40" s="405">
        <f t="shared" si="17"/>
        <v>366.97247706422019</v>
      </c>
      <c r="AP40" s="407">
        <v>422384</v>
      </c>
      <c r="AQ40" s="405">
        <f t="shared" si="18"/>
        <v>19375.412844036695</v>
      </c>
    </row>
    <row r="41" spans="1:43" x14ac:dyDescent="0.35">
      <c r="A41" s="394" t="s">
        <v>487</v>
      </c>
      <c r="B41" s="395">
        <v>5.33</v>
      </c>
      <c r="D41" s="404">
        <v>1367</v>
      </c>
      <c r="E41" s="405">
        <f t="shared" si="19"/>
        <v>256.47279549718576</v>
      </c>
      <c r="F41" s="404">
        <v>1700</v>
      </c>
      <c r="G41" s="405">
        <f t="shared" si="19"/>
        <v>318.94934333958724</v>
      </c>
      <c r="H41" s="404"/>
      <c r="I41" s="405" t="str">
        <f t="shared" si="1"/>
        <v/>
      </c>
      <c r="J41" s="404"/>
      <c r="K41" s="405" t="str">
        <f t="shared" si="2"/>
        <v/>
      </c>
      <c r="L41" s="404"/>
      <c r="M41" s="405" t="str">
        <f t="shared" si="3"/>
        <v/>
      </c>
      <c r="N41" s="404">
        <v>1572</v>
      </c>
      <c r="O41" s="405">
        <f t="shared" si="4"/>
        <v>294.93433395872421</v>
      </c>
      <c r="P41" s="404">
        <v>639</v>
      </c>
      <c r="Q41" s="405">
        <f t="shared" si="5"/>
        <v>119.8874296435272</v>
      </c>
      <c r="R41" s="404"/>
      <c r="S41" s="405" t="str">
        <f t="shared" si="6"/>
        <v/>
      </c>
      <c r="T41" s="404"/>
      <c r="U41" s="405" t="str">
        <f t="shared" si="7"/>
        <v/>
      </c>
      <c r="V41" s="404"/>
      <c r="W41" s="405" t="str">
        <f t="shared" si="8"/>
        <v/>
      </c>
      <c r="X41" s="404"/>
      <c r="Y41" s="405" t="str">
        <f t="shared" si="9"/>
        <v/>
      </c>
      <c r="Z41" s="404"/>
      <c r="AA41" s="405" t="str">
        <f t="shared" si="10"/>
        <v/>
      </c>
      <c r="AB41" s="404"/>
      <c r="AC41" s="405" t="str">
        <f t="shared" si="11"/>
        <v/>
      </c>
      <c r="AD41" s="404"/>
      <c r="AE41" s="405" t="str">
        <f t="shared" si="12"/>
        <v/>
      </c>
      <c r="AF41" s="404"/>
      <c r="AG41" s="405" t="str">
        <f t="shared" si="13"/>
        <v/>
      </c>
      <c r="AH41" s="404"/>
      <c r="AI41" s="405" t="str">
        <f t="shared" si="14"/>
        <v/>
      </c>
      <c r="AJ41" s="404"/>
      <c r="AK41" s="405" t="str">
        <f t="shared" si="15"/>
        <v/>
      </c>
      <c r="AL41" s="404"/>
      <c r="AM41" s="405" t="str">
        <f t="shared" si="16"/>
        <v/>
      </c>
      <c r="AN41" s="404"/>
      <c r="AO41" s="405" t="str">
        <f t="shared" si="17"/>
        <v/>
      </c>
      <c r="AP41" s="404">
        <v>3911</v>
      </c>
      <c r="AQ41" s="405">
        <f t="shared" si="18"/>
        <v>733.77110694183864</v>
      </c>
    </row>
    <row r="42" spans="1:43" x14ac:dyDescent="0.35">
      <c r="A42" s="396"/>
      <c r="B42">
        <v>2.12</v>
      </c>
      <c r="D42" s="407">
        <v>13063</v>
      </c>
      <c r="E42" s="405">
        <f t="shared" si="19"/>
        <v>6161.7924528301883</v>
      </c>
      <c r="F42" s="407">
        <v>14092</v>
      </c>
      <c r="G42" s="405">
        <f t="shared" si="19"/>
        <v>6647.169811320754</v>
      </c>
      <c r="H42" s="407"/>
      <c r="I42" s="405" t="str">
        <f t="shared" si="1"/>
        <v/>
      </c>
      <c r="J42" s="407"/>
      <c r="K42" s="405" t="str">
        <f t="shared" si="2"/>
        <v/>
      </c>
      <c r="L42" s="407"/>
      <c r="M42" s="405" t="str">
        <f t="shared" si="3"/>
        <v/>
      </c>
      <c r="N42" s="407">
        <v>82</v>
      </c>
      <c r="O42" s="405">
        <f t="shared" si="4"/>
        <v>38.679245283018865</v>
      </c>
      <c r="P42" s="407">
        <v>50</v>
      </c>
      <c r="Q42" s="405">
        <f t="shared" si="5"/>
        <v>23.584905660377359</v>
      </c>
      <c r="R42" s="407"/>
      <c r="S42" s="405" t="str">
        <f t="shared" si="6"/>
        <v/>
      </c>
      <c r="T42" s="407"/>
      <c r="U42" s="405" t="str">
        <f t="shared" si="7"/>
        <v/>
      </c>
      <c r="V42" s="407"/>
      <c r="W42" s="405" t="str">
        <f t="shared" si="8"/>
        <v/>
      </c>
      <c r="X42" s="407"/>
      <c r="Y42" s="405" t="str">
        <f t="shared" si="9"/>
        <v/>
      </c>
      <c r="Z42" s="407"/>
      <c r="AA42" s="405" t="str">
        <f t="shared" si="10"/>
        <v/>
      </c>
      <c r="AB42" s="407"/>
      <c r="AC42" s="405" t="str">
        <f t="shared" si="11"/>
        <v/>
      </c>
      <c r="AD42" s="407"/>
      <c r="AE42" s="405" t="str">
        <f t="shared" si="12"/>
        <v/>
      </c>
      <c r="AF42" s="407"/>
      <c r="AG42" s="405" t="str">
        <f t="shared" si="13"/>
        <v/>
      </c>
      <c r="AH42" s="407"/>
      <c r="AI42" s="405" t="str">
        <f t="shared" si="14"/>
        <v/>
      </c>
      <c r="AJ42" s="407"/>
      <c r="AK42" s="405" t="str">
        <f t="shared" si="15"/>
        <v/>
      </c>
      <c r="AL42" s="407"/>
      <c r="AM42" s="405" t="str">
        <f t="shared" si="16"/>
        <v/>
      </c>
      <c r="AN42" s="407"/>
      <c r="AO42" s="405" t="str">
        <f t="shared" si="17"/>
        <v/>
      </c>
      <c r="AP42" s="407">
        <v>14224</v>
      </c>
      <c r="AQ42" s="405">
        <f t="shared" si="18"/>
        <v>6709.433962264151</v>
      </c>
    </row>
    <row r="43" spans="1:43" x14ac:dyDescent="0.35">
      <c r="A43" s="396"/>
      <c r="B43">
        <v>2.21</v>
      </c>
      <c r="D43" s="407">
        <v>7693</v>
      </c>
      <c r="E43" s="405">
        <f t="shared" si="19"/>
        <v>3480.9954751131222</v>
      </c>
      <c r="F43" s="407">
        <v>11923</v>
      </c>
      <c r="G43" s="405">
        <f t="shared" si="19"/>
        <v>5395.0226244343894</v>
      </c>
      <c r="H43" s="407"/>
      <c r="I43" s="405" t="str">
        <f t="shared" si="1"/>
        <v/>
      </c>
      <c r="J43" s="407"/>
      <c r="K43" s="405" t="str">
        <f t="shared" si="2"/>
        <v/>
      </c>
      <c r="L43" s="407"/>
      <c r="M43" s="405" t="str">
        <f t="shared" si="3"/>
        <v/>
      </c>
      <c r="N43" s="407">
        <v>529</v>
      </c>
      <c r="O43" s="405">
        <f t="shared" si="4"/>
        <v>239.36651583710409</v>
      </c>
      <c r="P43" s="407">
        <v>1153</v>
      </c>
      <c r="Q43" s="405">
        <f t="shared" si="5"/>
        <v>521.7194570135747</v>
      </c>
      <c r="R43" s="407"/>
      <c r="S43" s="405" t="str">
        <f t="shared" si="6"/>
        <v/>
      </c>
      <c r="T43" s="407"/>
      <c r="U43" s="405" t="str">
        <f t="shared" si="7"/>
        <v/>
      </c>
      <c r="V43" s="407"/>
      <c r="W43" s="405" t="str">
        <f t="shared" si="8"/>
        <v/>
      </c>
      <c r="X43" s="407"/>
      <c r="Y43" s="405" t="str">
        <f t="shared" si="9"/>
        <v/>
      </c>
      <c r="Z43" s="407"/>
      <c r="AA43" s="405" t="str">
        <f t="shared" si="10"/>
        <v/>
      </c>
      <c r="AB43" s="407"/>
      <c r="AC43" s="405" t="str">
        <f t="shared" si="11"/>
        <v/>
      </c>
      <c r="AD43" s="407"/>
      <c r="AE43" s="405" t="str">
        <f t="shared" si="12"/>
        <v/>
      </c>
      <c r="AF43" s="407"/>
      <c r="AG43" s="405" t="str">
        <f t="shared" si="13"/>
        <v/>
      </c>
      <c r="AH43" s="407"/>
      <c r="AI43" s="405" t="str">
        <f t="shared" si="14"/>
        <v/>
      </c>
      <c r="AJ43" s="407"/>
      <c r="AK43" s="405" t="str">
        <f t="shared" si="15"/>
        <v/>
      </c>
      <c r="AL43" s="407"/>
      <c r="AM43" s="405" t="str">
        <f t="shared" si="16"/>
        <v/>
      </c>
      <c r="AN43" s="407"/>
      <c r="AO43" s="405" t="str">
        <f t="shared" si="17"/>
        <v/>
      </c>
      <c r="AP43" s="407">
        <v>13605</v>
      </c>
      <c r="AQ43" s="405">
        <f t="shared" si="18"/>
        <v>6156.1085972850678</v>
      </c>
    </row>
    <row r="44" spans="1:43" x14ac:dyDescent="0.35">
      <c r="A44" s="394" t="s">
        <v>427</v>
      </c>
      <c r="B44" s="395">
        <v>148.38</v>
      </c>
      <c r="D44" s="404">
        <v>1531794</v>
      </c>
      <c r="E44" s="405">
        <f t="shared" si="19"/>
        <v>10323.453295592399</v>
      </c>
      <c r="F44" s="404">
        <v>57974</v>
      </c>
      <c r="G44" s="405">
        <f t="shared" si="19"/>
        <v>390.71303410163097</v>
      </c>
      <c r="H44" s="404"/>
      <c r="I44" s="405" t="str">
        <f t="shared" si="1"/>
        <v/>
      </c>
      <c r="J44" s="404"/>
      <c r="K44" s="405" t="str">
        <f t="shared" si="2"/>
        <v/>
      </c>
      <c r="L44" s="404"/>
      <c r="M44" s="405" t="str">
        <f t="shared" si="3"/>
        <v/>
      </c>
      <c r="N44" s="404">
        <v>82996</v>
      </c>
      <c r="O44" s="405">
        <f t="shared" si="4"/>
        <v>559.34762097317696</v>
      </c>
      <c r="P44" s="404">
        <v>48280</v>
      </c>
      <c r="Q44" s="405">
        <f t="shared" si="5"/>
        <v>325.38077908073865</v>
      </c>
      <c r="R44" s="404">
        <v>3052</v>
      </c>
      <c r="S44" s="405">
        <f t="shared" si="6"/>
        <v>20.568809812643213</v>
      </c>
      <c r="T44" s="404"/>
      <c r="U44" s="405" t="str">
        <f t="shared" si="7"/>
        <v/>
      </c>
      <c r="V44" s="404"/>
      <c r="W44" s="405" t="str">
        <f t="shared" si="8"/>
        <v/>
      </c>
      <c r="X44" s="404"/>
      <c r="Y44" s="405" t="str">
        <f t="shared" si="9"/>
        <v/>
      </c>
      <c r="Z44" s="404">
        <v>14</v>
      </c>
      <c r="AA44" s="405">
        <f t="shared" si="10"/>
        <v>9.4352338590106485E-2</v>
      </c>
      <c r="AB44" s="404">
        <v>1000</v>
      </c>
      <c r="AC44" s="405">
        <f t="shared" si="11"/>
        <v>6.7394527564361777</v>
      </c>
      <c r="AD44" s="404"/>
      <c r="AE44" s="405" t="str">
        <f t="shared" si="12"/>
        <v/>
      </c>
      <c r="AF44" s="404"/>
      <c r="AG44" s="405" t="str">
        <f t="shared" si="13"/>
        <v/>
      </c>
      <c r="AH44" s="404"/>
      <c r="AI44" s="405" t="str">
        <f t="shared" si="14"/>
        <v/>
      </c>
      <c r="AJ44" s="404">
        <v>39076</v>
      </c>
      <c r="AK44" s="405">
        <f t="shared" si="15"/>
        <v>263.35085591050006</v>
      </c>
      <c r="AL44" s="404"/>
      <c r="AM44" s="405" t="str">
        <f t="shared" si="16"/>
        <v/>
      </c>
      <c r="AN44" s="404"/>
      <c r="AO44" s="405" t="str">
        <f t="shared" si="17"/>
        <v/>
      </c>
      <c r="AP44" s="404">
        <v>232392</v>
      </c>
      <c r="AQ44" s="405">
        <f t="shared" si="18"/>
        <v>1566.1949049737161</v>
      </c>
    </row>
    <row r="45" spans="1:43" x14ac:dyDescent="0.35">
      <c r="A45" s="394" t="s">
        <v>488</v>
      </c>
      <c r="B45" s="395">
        <v>4.4029999999999996</v>
      </c>
      <c r="D45" s="404">
        <v>16592.599999999999</v>
      </c>
      <c r="E45" s="405">
        <f t="shared" ref="E45:G60" si="20">IF(OR($B45=0,D45=0),"",D45/$B45)</f>
        <v>3768.4760390642746</v>
      </c>
      <c r="F45" s="404">
        <v>7559</v>
      </c>
      <c r="G45" s="405">
        <f t="shared" si="20"/>
        <v>1716.7840109016581</v>
      </c>
      <c r="H45" s="404">
        <v>10239</v>
      </c>
      <c r="I45" s="405">
        <f t="shared" si="1"/>
        <v>2325.4599136952079</v>
      </c>
      <c r="J45" s="404"/>
      <c r="K45" s="405" t="str">
        <f t="shared" si="2"/>
        <v/>
      </c>
      <c r="L45" s="404"/>
      <c r="M45" s="405" t="str">
        <f t="shared" si="3"/>
        <v/>
      </c>
      <c r="N45" s="404">
        <v>468.54</v>
      </c>
      <c r="O45" s="405">
        <f t="shared" si="4"/>
        <v>106.41380876674995</v>
      </c>
      <c r="P45" s="404">
        <v>57</v>
      </c>
      <c r="Q45" s="405">
        <f t="shared" si="5"/>
        <v>12.945718828071771</v>
      </c>
      <c r="R45" s="404">
        <v>190.2</v>
      </c>
      <c r="S45" s="405">
        <f t="shared" si="6"/>
        <v>43.197819668407902</v>
      </c>
      <c r="T45" s="404"/>
      <c r="U45" s="405" t="str">
        <f t="shared" si="7"/>
        <v/>
      </c>
      <c r="V45" s="404"/>
      <c r="W45" s="405" t="str">
        <f t="shared" si="8"/>
        <v/>
      </c>
      <c r="X45" s="404"/>
      <c r="Y45" s="405" t="str">
        <f t="shared" si="9"/>
        <v/>
      </c>
      <c r="Z45" s="404"/>
      <c r="AA45" s="405" t="str">
        <f t="shared" si="10"/>
        <v/>
      </c>
      <c r="AB45" s="404"/>
      <c r="AC45" s="405" t="str">
        <f t="shared" si="11"/>
        <v/>
      </c>
      <c r="AD45" s="404">
        <v>128.11000000000001</v>
      </c>
      <c r="AE45" s="405">
        <f t="shared" si="12"/>
        <v>29.096070860776749</v>
      </c>
      <c r="AF45" s="404"/>
      <c r="AG45" s="405" t="str">
        <f t="shared" si="13"/>
        <v/>
      </c>
      <c r="AH45" s="404"/>
      <c r="AI45" s="405" t="str">
        <f t="shared" si="14"/>
        <v/>
      </c>
      <c r="AJ45" s="404">
        <v>2762.63</v>
      </c>
      <c r="AK45" s="405">
        <f t="shared" si="15"/>
        <v>627.44265273677047</v>
      </c>
      <c r="AL45" s="404"/>
      <c r="AM45" s="405" t="str">
        <f t="shared" si="16"/>
        <v/>
      </c>
      <c r="AN45" s="404"/>
      <c r="AO45" s="405" t="str">
        <f t="shared" si="17"/>
        <v/>
      </c>
      <c r="AP45" s="404">
        <v>21404.48</v>
      </c>
      <c r="AQ45" s="405">
        <f t="shared" si="18"/>
        <v>4861.3399954576425</v>
      </c>
    </row>
    <row r="46" spans="1:43" x14ac:dyDescent="0.35">
      <c r="A46" s="396"/>
      <c r="B46">
        <v>1.3640000000000001</v>
      </c>
      <c r="D46" s="407">
        <v>1740.97</v>
      </c>
      <c r="E46" s="405">
        <f t="shared" si="20"/>
        <v>1276.3709677419354</v>
      </c>
      <c r="F46" s="407"/>
      <c r="G46" s="405" t="str">
        <f t="shared" si="20"/>
        <v/>
      </c>
      <c r="H46" s="407">
        <v>927</v>
      </c>
      <c r="I46" s="405">
        <f t="shared" si="1"/>
        <v>679.61876832844575</v>
      </c>
      <c r="J46" s="407"/>
      <c r="K46" s="405" t="str">
        <f t="shared" si="2"/>
        <v/>
      </c>
      <c r="L46" s="407"/>
      <c r="M46" s="405" t="str">
        <f t="shared" si="3"/>
        <v/>
      </c>
      <c r="N46" s="407">
        <v>280</v>
      </c>
      <c r="O46" s="405">
        <f t="shared" si="4"/>
        <v>205.27859237536654</v>
      </c>
      <c r="P46" s="407">
        <v>38</v>
      </c>
      <c r="Q46" s="405">
        <f t="shared" si="5"/>
        <v>27.859237536656888</v>
      </c>
      <c r="R46" s="407">
        <v>321.31</v>
      </c>
      <c r="S46" s="405">
        <f t="shared" si="6"/>
        <v>235.56451612903226</v>
      </c>
      <c r="T46" s="407"/>
      <c r="U46" s="405" t="str">
        <f t="shared" si="7"/>
        <v/>
      </c>
      <c r="V46" s="407"/>
      <c r="W46" s="405" t="str">
        <f t="shared" si="8"/>
        <v/>
      </c>
      <c r="X46" s="407"/>
      <c r="Y46" s="405" t="str">
        <f t="shared" si="9"/>
        <v/>
      </c>
      <c r="Z46" s="407"/>
      <c r="AA46" s="405" t="str">
        <f t="shared" si="10"/>
        <v/>
      </c>
      <c r="AB46" s="407"/>
      <c r="AC46" s="405" t="str">
        <f t="shared" si="11"/>
        <v/>
      </c>
      <c r="AD46" s="407"/>
      <c r="AE46" s="405" t="str">
        <f t="shared" si="12"/>
        <v/>
      </c>
      <c r="AF46" s="407"/>
      <c r="AG46" s="405" t="str">
        <f t="shared" si="13"/>
        <v/>
      </c>
      <c r="AH46" s="407"/>
      <c r="AI46" s="405" t="str">
        <f t="shared" si="14"/>
        <v/>
      </c>
      <c r="AJ46" s="407">
        <v>366.33</v>
      </c>
      <c r="AK46" s="405">
        <f t="shared" si="15"/>
        <v>268.57038123167155</v>
      </c>
      <c r="AL46" s="407"/>
      <c r="AM46" s="405" t="str">
        <f t="shared" si="16"/>
        <v/>
      </c>
      <c r="AN46" s="407"/>
      <c r="AO46" s="405" t="str">
        <f t="shared" si="17"/>
        <v/>
      </c>
      <c r="AP46" s="407">
        <v>1932.64</v>
      </c>
      <c r="AQ46" s="405">
        <f t="shared" si="18"/>
        <v>1416.8914956011729</v>
      </c>
    </row>
    <row r="47" spans="1:43" x14ac:dyDescent="0.35">
      <c r="A47" s="394" t="s">
        <v>428</v>
      </c>
      <c r="B47" s="395">
        <v>0.43</v>
      </c>
      <c r="D47" s="404">
        <v>4830</v>
      </c>
      <c r="E47" s="405">
        <f t="shared" si="20"/>
        <v>11232.558139534884</v>
      </c>
      <c r="F47" s="404"/>
      <c r="G47" s="405" t="str">
        <f t="shared" si="20"/>
        <v/>
      </c>
      <c r="H47" s="404"/>
      <c r="I47" s="405" t="str">
        <f t="shared" si="1"/>
        <v/>
      </c>
      <c r="J47" s="404"/>
      <c r="K47" s="405" t="str">
        <f t="shared" si="2"/>
        <v/>
      </c>
      <c r="L47" s="404"/>
      <c r="M47" s="405" t="str">
        <f t="shared" si="3"/>
        <v/>
      </c>
      <c r="N47" s="404"/>
      <c r="O47" s="405" t="str">
        <f t="shared" si="4"/>
        <v/>
      </c>
      <c r="P47" s="404"/>
      <c r="Q47" s="405" t="str">
        <f t="shared" si="5"/>
        <v/>
      </c>
      <c r="R47" s="404"/>
      <c r="S47" s="405" t="str">
        <f t="shared" si="6"/>
        <v/>
      </c>
      <c r="T47" s="404"/>
      <c r="U47" s="405" t="str">
        <f t="shared" si="7"/>
        <v/>
      </c>
      <c r="V47" s="404"/>
      <c r="W47" s="405" t="str">
        <f t="shared" si="8"/>
        <v/>
      </c>
      <c r="X47" s="404"/>
      <c r="Y47" s="405" t="str">
        <f t="shared" si="9"/>
        <v/>
      </c>
      <c r="Z47" s="404"/>
      <c r="AA47" s="405" t="str">
        <f t="shared" si="10"/>
        <v/>
      </c>
      <c r="AB47" s="404"/>
      <c r="AC47" s="405" t="str">
        <f t="shared" si="11"/>
        <v/>
      </c>
      <c r="AD47" s="404"/>
      <c r="AE47" s="405" t="str">
        <f t="shared" si="12"/>
        <v/>
      </c>
      <c r="AF47" s="404"/>
      <c r="AG47" s="405" t="str">
        <f t="shared" si="13"/>
        <v/>
      </c>
      <c r="AH47" s="404"/>
      <c r="AI47" s="405" t="str">
        <f t="shared" si="14"/>
        <v/>
      </c>
      <c r="AJ47" s="404">
        <v>32</v>
      </c>
      <c r="AK47" s="405">
        <f t="shared" si="15"/>
        <v>74.418604651162795</v>
      </c>
      <c r="AL47" s="404"/>
      <c r="AM47" s="405" t="str">
        <f t="shared" si="16"/>
        <v/>
      </c>
      <c r="AN47" s="404">
        <v>265</v>
      </c>
      <c r="AO47" s="405">
        <f t="shared" si="17"/>
        <v>616.27906976744191</v>
      </c>
      <c r="AP47" s="404">
        <v>297</v>
      </c>
      <c r="AQ47" s="405">
        <f t="shared" si="18"/>
        <v>690.69767441860461</v>
      </c>
    </row>
    <row r="48" spans="1:43" x14ac:dyDescent="0.35">
      <c r="A48" s="394" t="s">
        <v>429</v>
      </c>
      <c r="B48" s="395">
        <v>20.39</v>
      </c>
      <c r="D48" s="404">
        <v>44775</v>
      </c>
      <c r="E48" s="405">
        <f t="shared" si="20"/>
        <v>2195.9293771456596</v>
      </c>
      <c r="F48" s="404">
        <v>221699</v>
      </c>
      <c r="G48" s="405">
        <f t="shared" si="20"/>
        <v>10872.927905836194</v>
      </c>
      <c r="H48" s="404"/>
      <c r="I48" s="405" t="str">
        <f t="shared" si="1"/>
        <v/>
      </c>
      <c r="J48" s="404"/>
      <c r="K48" s="405" t="str">
        <f t="shared" si="2"/>
        <v/>
      </c>
      <c r="L48" s="404"/>
      <c r="M48" s="405" t="str">
        <f t="shared" si="3"/>
        <v/>
      </c>
      <c r="N48" s="404">
        <v>10881</v>
      </c>
      <c r="O48" s="405">
        <f t="shared" si="4"/>
        <v>533.64394310936734</v>
      </c>
      <c r="P48" s="404">
        <v>5976</v>
      </c>
      <c r="Q48" s="405">
        <f t="shared" si="5"/>
        <v>293.08484551250615</v>
      </c>
      <c r="R48" s="404"/>
      <c r="S48" s="405" t="str">
        <f t="shared" si="6"/>
        <v/>
      </c>
      <c r="T48" s="404"/>
      <c r="U48" s="405" t="str">
        <f t="shared" si="7"/>
        <v/>
      </c>
      <c r="V48" s="404"/>
      <c r="W48" s="405" t="str">
        <f t="shared" si="8"/>
        <v/>
      </c>
      <c r="X48" s="404"/>
      <c r="Y48" s="405" t="str">
        <f t="shared" si="9"/>
        <v/>
      </c>
      <c r="Z48" s="404"/>
      <c r="AA48" s="405" t="str">
        <f t="shared" si="10"/>
        <v/>
      </c>
      <c r="AB48" s="404"/>
      <c r="AC48" s="405" t="str">
        <f t="shared" si="11"/>
        <v/>
      </c>
      <c r="AD48" s="404"/>
      <c r="AE48" s="405" t="str">
        <f t="shared" si="12"/>
        <v/>
      </c>
      <c r="AF48" s="404"/>
      <c r="AG48" s="405" t="str">
        <f t="shared" si="13"/>
        <v/>
      </c>
      <c r="AH48" s="404"/>
      <c r="AI48" s="405" t="str">
        <f t="shared" si="14"/>
        <v/>
      </c>
      <c r="AJ48" s="404">
        <v>452</v>
      </c>
      <c r="AK48" s="405">
        <f t="shared" si="15"/>
        <v>22.16772927905836</v>
      </c>
      <c r="AL48" s="404"/>
      <c r="AM48" s="405" t="str">
        <f t="shared" si="16"/>
        <v/>
      </c>
      <c r="AN48" s="404"/>
      <c r="AO48" s="405" t="str">
        <f t="shared" si="17"/>
        <v/>
      </c>
      <c r="AP48" s="404">
        <v>239008</v>
      </c>
      <c r="AQ48" s="405">
        <f t="shared" si="18"/>
        <v>11721.824423737125</v>
      </c>
    </row>
    <row r="49" spans="1:43" x14ac:dyDescent="0.35">
      <c r="A49" s="394" t="s">
        <v>489</v>
      </c>
      <c r="B49" s="395">
        <v>1.383108</v>
      </c>
      <c r="D49" s="404">
        <v>56406.52</v>
      </c>
      <c r="E49" s="405">
        <f t="shared" si="20"/>
        <v>40782.440706004156</v>
      </c>
      <c r="F49" s="404"/>
      <c r="G49" s="405" t="str">
        <f t="shared" si="20"/>
        <v/>
      </c>
      <c r="H49" s="404"/>
      <c r="I49" s="405" t="str">
        <f t="shared" si="1"/>
        <v/>
      </c>
      <c r="J49" s="404"/>
      <c r="K49" s="405" t="str">
        <f t="shared" si="2"/>
        <v/>
      </c>
      <c r="L49" s="404"/>
      <c r="M49" s="405" t="str">
        <f t="shared" si="3"/>
        <v/>
      </c>
      <c r="N49" s="404"/>
      <c r="O49" s="405" t="str">
        <f t="shared" si="4"/>
        <v/>
      </c>
      <c r="P49" s="404"/>
      <c r="Q49" s="405" t="str">
        <f t="shared" si="5"/>
        <v/>
      </c>
      <c r="R49" s="404"/>
      <c r="S49" s="405" t="str">
        <f t="shared" si="6"/>
        <v/>
      </c>
      <c r="T49" s="404"/>
      <c r="U49" s="405" t="str">
        <f t="shared" si="7"/>
        <v/>
      </c>
      <c r="V49" s="404"/>
      <c r="W49" s="405" t="str">
        <f t="shared" si="8"/>
        <v/>
      </c>
      <c r="X49" s="404"/>
      <c r="Y49" s="405" t="str">
        <f t="shared" si="9"/>
        <v/>
      </c>
      <c r="Z49" s="404"/>
      <c r="AA49" s="405" t="str">
        <f t="shared" si="10"/>
        <v/>
      </c>
      <c r="AB49" s="404"/>
      <c r="AC49" s="405" t="str">
        <f t="shared" si="11"/>
        <v/>
      </c>
      <c r="AD49" s="404"/>
      <c r="AE49" s="405" t="str">
        <f t="shared" si="12"/>
        <v/>
      </c>
      <c r="AF49" s="404"/>
      <c r="AG49" s="405" t="str">
        <f t="shared" si="13"/>
        <v/>
      </c>
      <c r="AH49" s="404"/>
      <c r="AI49" s="405" t="str">
        <f t="shared" si="14"/>
        <v/>
      </c>
      <c r="AJ49" s="404">
        <v>2187.15</v>
      </c>
      <c r="AK49" s="405">
        <f t="shared" si="15"/>
        <v>1581.3298744566584</v>
      </c>
      <c r="AL49" s="404"/>
      <c r="AM49" s="405" t="str">
        <f t="shared" si="16"/>
        <v/>
      </c>
      <c r="AN49" s="404">
        <v>934.06</v>
      </c>
      <c r="AO49" s="405">
        <f t="shared" si="17"/>
        <v>675.33410261526933</v>
      </c>
      <c r="AP49" s="404">
        <v>3121.21</v>
      </c>
      <c r="AQ49" s="405">
        <f t="shared" si="18"/>
        <v>2256.663977071928</v>
      </c>
    </row>
    <row r="50" spans="1:43" x14ac:dyDescent="0.35">
      <c r="A50" s="394" t="s">
        <v>430</v>
      </c>
      <c r="B50" s="395">
        <v>1.21</v>
      </c>
      <c r="D50" s="404">
        <v>18971</v>
      </c>
      <c r="E50" s="405">
        <f t="shared" si="20"/>
        <v>15678.512396694216</v>
      </c>
      <c r="F50" s="404">
        <v>18345</v>
      </c>
      <c r="G50" s="405">
        <f t="shared" si="20"/>
        <v>15161.157024793389</v>
      </c>
      <c r="H50" s="404"/>
      <c r="I50" s="405" t="str">
        <f t="shared" si="1"/>
        <v/>
      </c>
      <c r="J50" s="404"/>
      <c r="K50" s="405" t="str">
        <f t="shared" si="2"/>
        <v/>
      </c>
      <c r="L50" s="404"/>
      <c r="M50" s="405" t="str">
        <f t="shared" si="3"/>
        <v/>
      </c>
      <c r="N50" s="404">
        <v>138</v>
      </c>
      <c r="O50" s="405">
        <f t="shared" si="4"/>
        <v>114.04958677685951</v>
      </c>
      <c r="P50" s="404">
        <v>19</v>
      </c>
      <c r="Q50" s="405">
        <f t="shared" si="5"/>
        <v>15.702479338842975</v>
      </c>
      <c r="R50" s="404"/>
      <c r="S50" s="405" t="str">
        <f t="shared" si="6"/>
        <v/>
      </c>
      <c r="T50" s="404"/>
      <c r="U50" s="405" t="str">
        <f t="shared" si="7"/>
        <v/>
      </c>
      <c r="V50" s="404"/>
      <c r="W50" s="405" t="str">
        <f t="shared" si="8"/>
        <v/>
      </c>
      <c r="X50" s="404"/>
      <c r="Y50" s="405" t="str">
        <f t="shared" si="9"/>
        <v/>
      </c>
      <c r="Z50" s="404"/>
      <c r="AA50" s="405" t="str">
        <f t="shared" si="10"/>
        <v/>
      </c>
      <c r="AB50" s="404"/>
      <c r="AC50" s="405" t="str">
        <f t="shared" si="11"/>
        <v/>
      </c>
      <c r="AD50" s="404"/>
      <c r="AE50" s="405" t="str">
        <f t="shared" si="12"/>
        <v/>
      </c>
      <c r="AF50" s="404"/>
      <c r="AG50" s="405" t="str">
        <f t="shared" si="13"/>
        <v/>
      </c>
      <c r="AH50" s="404"/>
      <c r="AI50" s="405" t="str">
        <f t="shared" si="14"/>
        <v/>
      </c>
      <c r="AJ50" s="404">
        <v>129</v>
      </c>
      <c r="AK50" s="405">
        <f t="shared" si="15"/>
        <v>106.61157024793388</v>
      </c>
      <c r="AL50" s="404"/>
      <c r="AM50" s="405" t="str">
        <f t="shared" si="16"/>
        <v/>
      </c>
      <c r="AN50" s="404"/>
      <c r="AO50" s="405" t="str">
        <f t="shared" si="17"/>
        <v/>
      </c>
      <c r="AP50" s="404">
        <v>18631</v>
      </c>
      <c r="AQ50" s="405">
        <f t="shared" si="18"/>
        <v>15397.520661157025</v>
      </c>
    </row>
    <row r="51" spans="1:43" x14ac:dyDescent="0.35">
      <c r="A51" s="396"/>
      <c r="B51">
        <v>3.35</v>
      </c>
      <c r="D51" s="407">
        <v>31828</v>
      </c>
      <c r="E51" s="405">
        <f t="shared" si="20"/>
        <v>9500.8955223880603</v>
      </c>
      <c r="F51" s="407">
        <v>6402</v>
      </c>
      <c r="G51" s="405">
        <f t="shared" si="20"/>
        <v>1911.044776119403</v>
      </c>
      <c r="H51" s="407"/>
      <c r="I51" s="405" t="str">
        <f t="shared" si="1"/>
        <v/>
      </c>
      <c r="J51" s="407"/>
      <c r="K51" s="405" t="str">
        <f t="shared" si="2"/>
        <v/>
      </c>
      <c r="L51" s="407"/>
      <c r="M51" s="405" t="str">
        <f t="shared" si="3"/>
        <v/>
      </c>
      <c r="N51" s="407">
        <v>303</v>
      </c>
      <c r="O51" s="405">
        <f t="shared" si="4"/>
        <v>90.447761194029852</v>
      </c>
      <c r="P51" s="407">
        <v>22</v>
      </c>
      <c r="Q51" s="405">
        <f t="shared" si="5"/>
        <v>6.567164179104477</v>
      </c>
      <c r="R51" s="407"/>
      <c r="S51" s="405" t="str">
        <f t="shared" si="6"/>
        <v/>
      </c>
      <c r="T51" s="407"/>
      <c r="U51" s="405" t="str">
        <f t="shared" si="7"/>
        <v/>
      </c>
      <c r="V51" s="407"/>
      <c r="W51" s="405" t="str">
        <f t="shared" si="8"/>
        <v/>
      </c>
      <c r="X51" s="407"/>
      <c r="Y51" s="405" t="str">
        <f t="shared" si="9"/>
        <v/>
      </c>
      <c r="Z51" s="407"/>
      <c r="AA51" s="405" t="str">
        <f t="shared" si="10"/>
        <v/>
      </c>
      <c r="AB51" s="407"/>
      <c r="AC51" s="405" t="str">
        <f t="shared" si="11"/>
        <v/>
      </c>
      <c r="AD51" s="407"/>
      <c r="AE51" s="405" t="str">
        <f t="shared" si="12"/>
        <v/>
      </c>
      <c r="AF51" s="407"/>
      <c r="AG51" s="405" t="str">
        <f t="shared" si="13"/>
        <v/>
      </c>
      <c r="AH51" s="407"/>
      <c r="AI51" s="405" t="str">
        <f t="shared" si="14"/>
        <v/>
      </c>
      <c r="AJ51" s="407">
        <v>3082</v>
      </c>
      <c r="AK51" s="405">
        <f t="shared" si="15"/>
        <v>920</v>
      </c>
      <c r="AL51" s="407"/>
      <c r="AM51" s="405" t="str">
        <f t="shared" si="16"/>
        <v/>
      </c>
      <c r="AN51" s="407"/>
      <c r="AO51" s="405" t="str">
        <f t="shared" si="17"/>
        <v/>
      </c>
      <c r="AP51" s="407">
        <v>9809</v>
      </c>
      <c r="AQ51" s="405">
        <f t="shared" si="18"/>
        <v>2928.0597014925374</v>
      </c>
    </row>
    <row r="52" spans="1:43" x14ac:dyDescent="0.35">
      <c r="A52" s="396"/>
      <c r="B52">
        <v>13.08</v>
      </c>
      <c r="D52" s="407">
        <v>38023</v>
      </c>
      <c r="E52" s="405">
        <f t="shared" si="20"/>
        <v>2906.9571865443427</v>
      </c>
      <c r="F52" s="407">
        <v>15646</v>
      </c>
      <c r="G52" s="405">
        <f t="shared" si="20"/>
        <v>1196.177370030581</v>
      </c>
      <c r="H52" s="407"/>
      <c r="I52" s="405" t="str">
        <f t="shared" si="1"/>
        <v/>
      </c>
      <c r="J52" s="407"/>
      <c r="K52" s="405" t="str">
        <f t="shared" si="2"/>
        <v/>
      </c>
      <c r="L52" s="407"/>
      <c r="M52" s="405" t="str">
        <f t="shared" si="3"/>
        <v/>
      </c>
      <c r="N52" s="407">
        <v>520</v>
      </c>
      <c r="O52" s="405">
        <f t="shared" si="4"/>
        <v>39.755351681957187</v>
      </c>
      <c r="P52" s="407">
        <v>71</v>
      </c>
      <c r="Q52" s="405">
        <f t="shared" si="5"/>
        <v>5.4281345565749239</v>
      </c>
      <c r="R52" s="407"/>
      <c r="S52" s="405" t="str">
        <f t="shared" si="6"/>
        <v/>
      </c>
      <c r="T52" s="407"/>
      <c r="U52" s="405" t="str">
        <f t="shared" si="7"/>
        <v/>
      </c>
      <c r="V52" s="407"/>
      <c r="W52" s="405" t="str">
        <f t="shared" si="8"/>
        <v/>
      </c>
      <c r="X52" s="407"/>
      <c r="Y52" s="405" t="str">
        <f t="shared" si="9"/>
        <v/>
      </c>
      <c r="Z52" s="407"/>
      <c r="AA52" s="405" t="str">
        <f t="shared" si="10"/>
        <v/>
      </c>
      <c r="AB52" s="407"/>
      <c r="AC52" s="405" t="str">
        <f t="shared" si="11"/>
        <v/>
      </c>
      <c r="AD52" s="407"/>
      <c r="AE52" s="405" t="str">
        <f t="shared" si="12"/>
        <v/>
      </c>
      <c r="AF52" s="407"/>
      <c r="AG52" s="405" t="str">
        <f t="shared" si="13"/>
        <v/>
      </c>
      <c r="AH52" s="407"/>
      <c r="AI52" s="405" t="str">
        <f t="shared" si="14"/>
        <v/>
      </c>
      <c r="AJ52" s="407">
        <v>650</v>
      </c>
      <c r="AK52" s="405">
        <f t="shared" si="15"/>
        <v>49.694189602446485</v>
      </c>
      <c r="AL52" s="407"/>
      <c r="AM52" s="405" t="str">
        <f t="shared" si="16"/>
        <v/>
      </c>
      <c r="AN52" s="407"/>
      <c r="AO52" s="405" t="str">
        <f t="shared" si="17"/>
        <v/>
      </c>
      <c r="AP52" s="407">
        <v>16887</v>
      </c>
      <c r="AQ52" s="405">
        <f t="shared" si="18"/>
        <v>1291.0550458715595</v>
      </c>
    </row>
    <row r="53" spans="1:43" x14ac:dyDescent="0.35">
      <c r="A53" s="394" t="s">
        <v>490</v>
      </c>
      <c r="B53" s="395">
        <v>7.54</v>
      </c>
      <c r="D53" s="404">
        <v>39948.81</v>
      </c>
      <c r="E53" s="405">
        <f t="shared" si="20"/>
        <v>5298.250663129973</v>
      </c>
      <c r="F53" s="404">
        <v>47956.02</v>
      </c>
      <c r="G53" s="405">
        <f t="shared" si="20"/>
        <v>6360.2148541114057</v>
      </c>
      <c r="H53" s="404">
        <v>2653.5</v>
      </c>
      <c r="I53" s="405">
        <f t="shared" si="1"/>
        <v>351.92307692307691</v>
      </c>
      <c r="J53" s="404"/>
      <c r="K53" s="405" t="str">
        <f t="shared" si="2"/>
        <v/>
      </c>
      <c r="L53" s="404"/>
      <c r="M53" s="405" t="str">
        <f t="shared" si="3"/>
        <v/>
      </c>
      <c r="N53" s="404">
        <v>130</v>
      </c>
      <c r="O53" s="405">
        <f t="shared" si="4"/>
        <v>17.241379310344829</v>
      </c>
      <c r="P53" s="404"/>
      <c r="Q53" s="405" t="str">
        <f t="shared" si="5"/>
        <v/>
      </c>
      <c r="R53" s="404">
        <v>684.55</v>
      </c>
      <c r="S53" s="405">
        <f t="shared" si="6"/>
        <v>90.789124668435008</v>
      </c>
      <c r="T53" s="404"/>
      <c r="U53" s="405" t="str">
        <f t="shared" si="7"/>
        <v/>
      </c>
      <c r="V53" s="404"/>
      <c r="W53" s="405" t="str">
        <f t="shared" si="8"/>
        <v/>
      </c>
      <c r="X53" s="404"/>
      <c r="Y53" s="405" t="str">
        <f t="shared" si="9"/>
        <v/>
      </c>
      <c r="Z53" s="404">
        <v>90769.69</v>
      </c>
      <c r="AA53" s="405">
        <f t="shared" si="10"/>
        <v>12038.420424403183</v>
      </c>
      <c r="AB53" s="404"/>
      <c r="AC53" s="405" t="str">
        <f t="shared" si="11"/>
        <v/>
      </c>
      <c r="AD53" s="404"/>
      <c r="AE53" s="405" t="str">
        <f t="shared" si="12"/>
        <v/>
      </c>
      <c r="AF53" s="404"/>
      <c r="AG53" s="405" t="str">
        <f t="shared" si="13"/>
        <v/>
      </c>
      <c r="AH53" s="404"/>
      <c r="AI53" s="405" t="str">
        <f t="shared" si="14"/>
        <v/>
      </c>
      <c r="AJ53" s="404">
        <v>2117.4299999999998</v>
      </c>
      <c r="AK53" s="405">
        <f t="shared" si="15"/>
        <v>280.82625994694956</v>
      </c>
      <c r="AL53" s="404"/>
      <c r="AM53" s="405" t="str">
        <f t="shared" si="16"/>
        <v/>
      </c>
      <c r="AN53" s="404"/>
      <c r="AO53" s="405" t="str">
        <f t="shared" si="17"/>
        <v/>
      </c>
      <c r="AP53" s="404">
        <v>144311.19</v>
      </c>
      <c r="AQ53" s="405">
        <f t="shared" si="18"/>
        <v>19139.415119363395</v>
      </c>
    </row>
    <row r="54" spans="1:43" x14ac:dyDescent="0.35">
      <c r="A54" s="396"/>
      <c r="B54">
        <v>10.39</v>
      </c>
      <c r="D54" s="407">
        <v>259552.32</v>
      </c>
      <c r="E54" s="405">
        <f t="shared" si="20"/>
        <v>24980.974013474493</v>
      </c>
      <c r="F54" s="407">
        <v>750</v>
      </c>
      <c r="G54" s="405">
        <f t="shared" si="20"/>
        <v>72.184793070259857</v>
      </c>
      <c r="H54" s="407">
        <v>600</v>
      </c>
      <c r="I54" s="405">
        <f t="shared" si="1"/>
        <v>57.74783445620789</v>
      </c>
      <c r="J54" s="407"/>
      <c r="K54" s="405" t="str">
        <f t="shared" si="2"/>
        <v/>
      </c>
      <c r="L54" s="407"/>
      <c r="M54" s="405" t="str">
        <f t="shared" si="3"/>
        <v/>
      </c>
      <c r="N54" s="407">
        <v>557.95000000000005</v>
      </c>
      <c r="O54" s="405">
        <f t="shared" si="4"/>
        <v>53.700673724735324</v>
      </c>
      <c r="P54" s="407"/>
      <c r="Q54" s="405" t="str">
        <f t="shared" si="5"/>
        <v/>
      </c>
      <c r="R54" s="407">
        <v>707.56</v>
      </c>
      <c r="S54" s="405">
        <f t="shared" si="6"/>
        <v>68.100096246390748</v>
      </c>
      <c r="T54" s="407"/>
      <c r="U54" s="405" t="str">
        <f t="shared" si="7"/>
        <v/>
      </c>
      <c r="V54" s="407"/>
      <c r="W54" s="405" t="str">
        <f t="shared" si="8"/>
        <v/>
      </c>
      <c r="X54" s="407"/>
      <c r="Y54" s="405" t="str">
        <f t="shared" si="9"/>
        <v/>
      </c>
      <c r="Z54" s="407"/>
      <c r="AA54" s="405" t="str">
        <f t="shared" si="10"/>
        <v/>
      </c>
      <c r="AB54" s="407"/>
      <c r="AC54" s="405" t="str">
        <f t="shared" si="11"/>
        <v/>
      </c>
      <c r="AD54" s="407"/>
      <c r="AE54" s="405" t="str">
        <f t="shared" si="12"/>
        <v/>
      </c>
      <c r="AF54" s="407"/>
      <c r="AG54" s="405" t="str">
        <f t="shared" si="13"/>
        <v/>
      </c>
      <c r="AH54" s="407"/>
      <c r="AI54" s="405" t="str">
        <f t="shared" si="14"/>
        <v/>
      </c>
      <c r="AJ54" s="407">
        <v>1085.1500000000001</v>
      </c>
      <c r="AK54" s="405">
        <f t="shared" si="15"/>
        <v>104.44177093358999</v>
      </c>
      <c r="AL54" s="407"/>
      <c r="AM54" s="405" t="str">
        <f t="shared" si="16"/>
        <v/>
      </c>
      <c r="AN54" s="407">
        <v>1306.79</v>
      </c>
      <c r="AO54" s="405">
        <f t="shared" si="17"/>
        <v>125.77382098171317</v>
      </c>
      <c r="AP54" s="407">
        <v>5007.45</v>
      </c>
      <c r="AQ54" s="405">
        <f t="shared" si="18"/>
        <v>481.94898941289699</v>
      </c>
    </row>
    <row r="55" spans="1:43" x14ac:dyDescent="0.35">
      <c r="A55" s="394" t="s">
        <v>491</v>
      </c>
      <c r="B55" s="395">
        <v>4.1399999999999997</v>
      </c>
      <c r="D55" s="404">
        <v>20364</v>
      </c>
      <c r="E55" s="405">
        <f t="shared" si="20"/>
        <v>4918.840579710145</v>
      </c>
      <c r="F55" s="404">
        <v>1480</v>
      </c>
      <c r="G55" s="405">
        <f t="shared" si="20"/>
        <v>357.48792270531402</v>
      </c>
      <c r="H55" s="404"/>
      <c r="I55" s="405" t="str">
        <f t="shared" si="1"/>
        <v/>
      </c>
      <c r="J55" s="404"/>
      <c r="K55" s="405" t="str">
        <f t="shared" si="2"/>
        <v/>
      </c>
      <c r="L55" s="404"/>
      <c r="M55" s="405" t="str">
        <f t="shared" si="3"/>
        <v/>
      </c>
      <c r="N55" s="404">
        <v>-98</v>
      </c>
      <c r="O55" s="405">
        <f t="shared" si="4"/>
        <v>-23.671497584541065</v>
      </c>
      <c r="P55" s="404"/>
      <c r="Q55" s="405" t="str">
        <f t="shared" si="5"/>
        <v/>
      </c>
      <c r="R55" s="404"/>
      <c r="S55" s="405" t="str">
        <f t="shared" si="6"/>
        <v/>
      </c>
      <c r="T55" s="404"/>
      <c r="U55" s="405" t="str">
        <f t="shared" si="7"/>
        <v/>
      </c>
      <c r="V55" s="404"/>
      <c r="W55" s="405" t="str">
        <f t="shared" si="8"/>
        <v/>
      </c>
      <c r="X55" s="404"/>
      <c r="Y55" s="405" t="str">
        <f t="shared" si="9"/>
        <v/>
      </c>
      <c r="Z55" s="404"/>
      <c r="AA55" s="405" t="str">
        <f t="shared" si="10"/>
        <v/>
      </c>
      <c r="AB55" s="404"/>
      <c r="AC55" s="405" t="str">
        <f t="shared" si="11"/>
        <v/>
      </c>
      <c r="AD55" s="404"/>
      <c r="AE55" s="405" t="str">
        <f t="shared" si="12"/>
        <v/>
      </c>
      <c r="AF55" s="404"/>
      <c r="AG55" s="405" t="str">
        <f t="shared" si="13"/>
        <v/>
      </c>
      <c r="AH55" s="404"/>
      <c r="AI55" s="405" t="str">
        <f t="shared" si="14"/>
        <v/>
      </c>
      <c r="AJ55" s="404">
        <v>1219</v>
      </c>
      <c r="AK55" s="405">
        <f t="shared" si="15"/>
        <v>294.44444444444446</v>
      </c>
      <c r="AL55" s="404"/>
      <c r="AM55" s="405" t="str">
        <f t="shared" si="16"/>
        <v/>
      </c>
      <c r="AN55" s="404"/>
      <c r="AO55" s="405" t="str">
        <f t="shared" si="17"/>
        <v/>
      </c>
      <c r="AP55" s="404">
        <v>2601</v>
      </c>
      <c r="AQ55" s="405">
        <f t="shared" si="18"/>
        <v>628.26086956521749</v>
      </c>
    </row>
    <row r="56" spans="1:43" x14ac:dyDescent="0.35">
      <c r="A56" s="396"/>
      <c r="B56">
        <v>6.85</v>
      </c>
      <c r="D56" s="407">
        <v>70122</v>
      </c>
      <c r="E56" s="405">
        <f t="shared" si="20"/>
        <v>10236.788321167884</v>
      </c>
      <c r="F56" s="407">
        <v>474</v>
      </c>
      <c r="G56" s="405">
        <f t="shared" si="20"/>
        <v>69.197080291970806</v>
      </c>
      <c r="H56" s="407"/>
      <c r="I56" s="405" t="str">
        <f t="shared" si="1"/>
        <v/>
      </c>
      <c r="J56" s="407"/>
      <c r="K56" s="405" t="str">
        <f t="shared" si="2"/>
        <v/>
      </c>
      <c r="L56" s="407"/>
      <c r="M56" s="405" t="str">
        <f t="shared" si="3"/>
        <v/>
      </c>
      <c r="N56" s="407">
        <v>3126</v>
      </c>
      <c r="O56" s="405">
        <f t="shared" si="4"/>
        <v>456.35036496350369</v>
      </c>
      <c r="P56" s="407">
        <v>525</v>
      </c>
      <c r="Q56" s="405">
        <f t="shared" si="5"/>
        <v>76.642335766423358</v>
      </c>
      <c r="R56" s="407">
        <v>1</v>
      </c>
      <c r="S56" s="405">
        <f t="shared" si="6"/>
        <v>0.14598540145985403</v>
      </c>
      <c r="T56" s="407"/>
      <c r="U56" s="405" t="str">
        <f t="shared" si="7"/>
        <v/>
      </c>
      <c r="V56" s="407">
        <v>13</v>
      </c>
      <c r="W56" s="405">
        <f t="shared" si="8"/>
        <v>1.8978102189781023</v>
      </c>
      <c r="X56" s="407"/>
      <c r="Y56" s="405" t="str">
        <f t="shared" si="9"/>
        <v/>
      </c>
      <c r="Z56" s="407"/>
      <c r="AA56" s="405" t="str">
        <f t="shared" si="10"/>
        <v/>
      </c>
      <c r="AB56" s="407"/>
      <c r="AC56" s="405" t="str">
        <f t="shared" si="11"/>
        <v/>
      </c>
      <c r="AD56" s="407"/>
      <c r="AE56" s="405" t="str">
        <f t="shared" si="12"/>
        <v/>
      </c>
      <c r="AF56" s="407"/>
      <c r="AG56" s="405" t="str">
        <f t="shared" si="13"/>
        <v/>
      </c>
      <c r="AH56" s="407"/>
      <c r="AI56" s="405" t="str">
        <f t="shared" si="14"/>
        <v/>
      </c>
      <c r="AJ56" s="407">
        <v>3380</v>
      </c>
      <c r="AK56" s="405">
        <f t="shared" si="15"/>
        <v>493.43065693430657</v>
      </c>
      <c r="AL56" s="407"/>
      <c r="AM56" s="405" t="str">
        <f t="shared" si="16"/>
        <v/>
      </c>
      <c r="AN56" s="407"/>
      <c r="AO56" s="405" t="str">
        <f t="shared" si="17"/>
        <v/>
      </c>
      <c r="AP56" s="407">
        <v>7519</v>
      </c>
      <c r="AQ56" s="405">
        <f t="shared" si="18"/>
        <v>1097.6642335766423</v>
      </c>
    </row>
    <row r="57" spans="1:43" x14ac:dyDescent="0.35">
      <c r="A57" s="394" t="s">
        <v>431</v>
      </c>
      <c r="B57" s="395">
        <v>13.22</v>
      </c>
      <c r="D57" s="404">
        <v>112462.7</v>
      </c>
      <c r="E57" s="405">
        <f t="shared" si="20"/>
        <v>8507.0121028744325</v>
      </c>
      <c r="F57" s="404"/>
      <c r="G57" s="405" t="str">
        <f t="shared" si="20"/>
        <v/>
      </c>
      <c r="H57" s="404">
        <v>28704.25</v>
      </c>
      <c r="I57" s="405">
        <f t="shared" si="1"/>
        <v>2171.2745839636914</v>
      </c>
      <c r="J57" s="404"/>
      <c r="K57" s="405" t="str">
        <f t="shared" si="2"/>
        <v/>
      </c>
      <c r="L57" s="404"/>
      <c r="M57" s="405" t="str">
        <f t="shared" si="3"/>
        <v/>
      </c>
      <c r="N57" s="404"/>
      <c r="O57" s="405" t="str">
        <f t="shared" si="4"/>
        <v/>
      </c>
      <c r="P57" s="404"/>
      <c r="Q57" s="405" t="str">
        <f t="shared" si="5"/>
        <v/>
      </c>
      <c r="R57" s="404">
        <v>722.97</v>
      </c>
      <c r="S57" s="405">
        <f t="shared" si="6"/>
        <v>54.687594553706504</v>
      </c>
      <c r="T57" s="404"/>
      <c r="U57" s="405" t="str">
        <f t="shared" si="7"/>
        <v/>
      </c>
      <c r="V57" s="404"/>
      <c r="W57" s="405" t="str">
        <f t="shared" si="8"/>
        <v/>
      </c>
      <c r="X57" s="404"/>
      <c r="Y57" s="405" t="str">
        <f t="shared" si="9"/>
        <v/>
      </c>
      <c r="Z57" s="404">
        <v>82558.070000000007</v>
      </c>
      <c r="AA57" s="405">
        <f t="shared" si="10"/>
        <v>6244.9372163388807</v>
      </c>
      <c r="AB57" s="404"/>
      <c r="AC57" s="405" t="str">
        <f t="shared" si="11"/>
        <v/>
      </c>
      <c r="AD57" s="404">
        <v>22376.65</v>
      </c>
      <c r="AE57" s="405">
        <f t="shared" si="12"/>
        <v>1692.6361573373676</v>
      </c>
      <c r="AF57" s="404"/>
      <c r="AG57" s="405" t="str">
        <f t="shared" si="13"/>
        <v/>
      </c>
      <c r="AH57" s="404">
        <v>9642.0400000000009</v>
      </c>
      <c r="AI57" s="405">
        <f t="shared" si="14"/>
        <v>729.35249621785181</v>
      </c>
      <c r="AJ57" s="404">
        <v>11544.09</v>
      </c>
      <c r="AK57" s="405">
        <f t="shared" si="15"/>
        <v>873.22919818456876</v>
      </c>
      <c r="AL57" s="404"/>
      <c r="AM57" s="405" t="str">
        <f t="shared" si="16"/>
        <v/>
      </c>
      <c r="AN57" s="404"/>
      <c r="AO57" s="405" t="str">
        <f t="shared" si="17"/>
        <v/>
      </c>
      <c r="AP57" s="404">
        <v>155548.07</v>
      </c>
      <c r="AQ57" s="405">
        <f t="shared" si="18"/>
        <v>11766.117246596066</v>
      </c>
    </row>
    <row r="58" spans="1:43" x14ac:dyDescent="0.35">
      <c r="A58" s="396"/>
      <c r="B58">
        <v>12.44</v>
      </c>
      <c r="D58" s="407">
        <v>49238.04</v>
      </c>
      <c r="E58" s="405">
        <f t="shared" si="20"/>
        <v>3958.0418006430868</v>
      </c>
      <c r="F58" s="407"/>
      <c r="G58" s="405" t="str">
        <f t="shared" si="20"/>
        <v/>
      </c>
      <c r="H58" s="407">
        <v>12567.2</v>
      </c>
      <c r="I58" s="405">
        <f t="shared" si="1"/>
        <v>1010.2250803858522</v>
      </c>
      <c r="J58" s="407"/>
      <c r="K58" s="405" t="str">
        <f t="shared" si="2"/>
        <v/>
      </c>
      <c r="L58" s="407"/>
      <c r="M58" s="405" t="str">
        <f t="shared" si="3"/>
        <v/>
      </c>
      <c r="N58" s="407"/>
      <c r="O58" s="405" t="str">
        <f t="shared" si="4"/>
        <v/>
      </c>
      <c r="P58" s="407"/>
      <c r="Q58" s="405" t="str">
        <f t="shared" si="5"/>
        <v/>
      </c>
      <c r="R58" s="407">
        <v>635.22</v>
      </c>
      <c r="S58" s="405">
        <f t="shared" si="6"/>
        <v>51.062700964630231</v>
      </c>
      <c r="T58" s="407">
        <v>316.52999999999997</v>
      </c>
      <c r="U58" s="405">
        <f t="shared" si="7"/>
        <v>25.444533762057876</v>
      </c>
      <c r="V58" s="407"/>
      <c r="W58" s="405" t="str">
        <f t="shared" si="8"/>
        <v/>
      </c>
      <c r="X58" s="407"/>
      <c r="Y58" s="405" t="str">
        <f t="shared" si="9"/>
        <v/>
      </c>
      <c r="Z58" s="407"/>
      <c r="AA58" s="405" t="str">
        <f t="shared" si="10"/>
        <v/>
      </c>
      <c r="AB58" s="407"/>
      <c r="AC58" s="405" t="str">
        <f t="shared" si="11"/>
        <v/>
      </c>
      <c r="AD58" s="407"/>
      <c r="AE58" s="405" t="str">
        <f t="shared" si="12"/>
        <v/>
      </c>
      <c r="AF58" s="407"/>
      <c r="AG58" s="405" t="str">
        <f t="shared" si="13"/>
        <v/>
      </c>
      <c r="AH58" s="407">
        <v>4221.4399999999996</v>
      </c>
      <c r="AI58" s="405">
        <f t="shared" si="14"/>
        <v>339.34405144694534</v>
      </c>
      <c r="AJ58" s="407">
        <v>1523.87</v>
      </c>
      <c r="AK58" s="405">
        <f t="shared" si="15"/>
        <v>122.4975884244373</v>
      </c>
      <c r="AL58" s="407"/>
      <c r="AM58" s="405" t="str">
        <f t="shared" si="16"/>
        <v/>
      </c>
      <c r="AN58" s="407"/>
      <c r="AO58" s="405" t="str">
        <f t="shared" si="17"/>
        <v/>
      </c>
      <c r="AP58" s="407">
        <v>19264.259999999998</v>
      </c>
      <c r="AQ58" s="405">
        <f t="shared" si="18"/>
        <v>1548.5739549839227</v>
      </c>
    </row>
    <row r="59" spans="1:43" x14ac:dyDescent="0.35">
      <c r="A59" s="396"/>
      <c r="B59">
        <v>105.1</v>
      </c>
      <c r="D59" s="407">
        <v>518946.88</v>
      </c>
      <c r="E59" s="405">
        <f t="shared" si="20"/>
        <v>4937.648715509039</v>
      </c>
      <c r="F59" s="407"/>
      <c r="G59" s="405" t="str">
        <f t="shared" si="20"/>
        <v/>
      </c>
      <c r="H59" s="407">
        <v>726446.93</v>
      </c>
      <c r="I59" s="405">
        <f t="shared" si="1"/>
        <v>6911.9593720266421</v>
      </c>
      <c r="J59" s="407"/>
      <c r="K59" s="405" t="str">
        <f t="shared" si="2"/>
        <v/>
      </c>
      <c r="L59" s="407"/>
      <c r="M59" s="405" t="str">
        <f t="shared" si="3"/>
        <v/>
      </c>
      <c r="N59" s="407">
        <v>492.38</v>
      </c>
      <c r="O59" s="405">
        <f t="shared" si="4"/>
        <v>4.6848715509039014</v>
      </c>
      <c r="P59" s="407">
        <v>4994.66</v>
      </c>
      <c r="Q59" s="405">
        <f t="shared" si="5"/>
        <v>47.522930542340632</v>
      </c>
      <c r="R59" s="407">
        <v>315650.28999999998</v>
      </c>
      <c r="S59" s="405">
        <f t="shared" si="6"/>
        <v>3003.3329210275929</v>
      </c>
      <c r="T59" s="407">
        <v>8721.2999999999993</v>
      </c>
      <c r="U59" s="405">
        <f t="shared" si="7"/>
        <v>82.980970504281629</v>
      </c>
      <c r="V59" s="407">
        <v>23836.44</v>
      </c>
      <c r="W59" s="405">
        <f t="shared" si="8"/>
        <v>226.79771646051378</v>
      </c>
      <c r="X59" s="407">
        <v>16241.61</v>
      </c>
      <c r="Y59" s="405">
        <f t="shared" si="9"/>
        <v>154.53482397716462</v>
      </c>
      <c r="Z59" s="407">
        <v>59254.29</v>
      </c>
      <c r="AA59" s="405">
        <f t="shared" si="10"/>
        <v>563.78962892483355</v>
      </c>
      <c r="AB59" s="407"/>
      <c r="AC59" s="405" t="str">
        <f t="shared" si="11"/>
        <v/>
      </c>
      <c r="AD59" s="407"/>
      <c r="AE59" s="405" t="str">
        <f t="shared" si="12"/>
        <v/>
      </c>
      <c r="AF59" s="407"/>
      <c r="AG59" s="405" t="str">
        <f t="shared" si="13"/>
        <v/>
      </c>
      <c r="AH59" s="407">
        <v>81417.98</v>
      </c>
      <c r="AI59" s="405">
        <f t="shared" si="14"/>
        <v>774.67155090390099</v>
      </c>
      <c r="AJ59" s="407">
        <v>28696.89</v>
      </c>
      <c r="AK59" s="405">
        <f t="shared" si="15"/>
        <v>273.04367269267368</v>
      </c>
      <c r="AL59" s="407"/>
      <c r="AM59" s="405" t="str">
        <f t="shared" si="16"/>
        <v/>
      </c>
      <c r="AN59" s="407"/>
      <c r="AO59" s="405" t="str">
        <f t="shared" si="17"/>
        <v/>
      </c>
      <c r="AP59" s="407">
        <v>1265752.77</v>
      </c>
      <c r="AQ59" s="405">
        <f t="shared" si="18"/>
        <v>12043.318458610847</v>
      </c>
    </row>
    <row r="60" spans="1:43" x14ac:dyDescent="0.35">
      <c r="A60" s="396"/>
      <c r="B60">
        <v>261.76</v>
      </c>
      <c r="D60" s="407">
        <v>794212.16</v>
      </c>
      <c r="E60" s="405">
        <f t="shared" si="20"/>
        <v>3034.1234718826408</v>
      </c>
      <c r="F60" s="407"/>
      <c r="G60" s="405" t="str">
        <f t="shared" si="20"/>
        <v/>
      </c>
      <c r="H60" s="407"/>
      <c r="I60" s="405" t="str">
        <f t="shared" si="1"/>
        <v/>
      </c>
      <c r="J60" s="407"/>
      <c r="K60" s="405" t="str">
        <f t="shared" si="2"/>
        <v/>
      </c>
      <c r="L60" s="407"/>
      <c r="M60" s="405" t="str">
        <f t="shared" si="3"/>
        <v/>
      </c>
      <c r="N60" s="407">
        <v>5067.66</v>
      </c>
      <c r="O60" s="405">
        <f t="shared" si="4"/>
        <v>19.35994804400978</v>
      </c>
      <c r="P60" s="407">
        <v>34092.199999999997</v>
      </c>
      <c r="Q60" s="405">
        <f t="shared" si="5"/>
        <v>130.24220660146699</v>
      </c>
      <c r="R60" s="407">
        <v>3569.58</v>
      </c>
      <c r="S60" s="405">
        <f t="shared" si="6"/>
        <v>13.636842909535453</v>
      </c>
      <c r="T60" s="407"/>
      <c r="U60" s="405" t="str">
        <f t="shared" si="7"/>
        <v/>
      </c>
      <c r="V60" s="407"/>
      <c r="W60" s="405" t="str">
        <f t="shared" si="8"/>
        <v/>
      </c>
      <c r="X60" s="407"/>
      <c r="Y60" s="405" t="str">
        <f t="shared" si="9"/>
        <v/>
      </c>
      <c r="Z60" s="407">
        <v>1120</v>
      </c>
      <c r="AA60" s="405">
        <f t="shared" si="10"/>
        <v>4.2787286063569683</v>
      </c>
      <c r="AB60" s="407"/>
      <c r="AC60" s="405" t="str">
        <f t="shared" si="11"/>
        <v/>
      </c>
      <c r="AD60" s="407"/>
      <c r="AE60" s="405" t="str">
        <f t="shared" si="12"/>
        <v/>
      </c>
      <c r="AF60" s="407"/>
      <c r="AG60" s="405" t="str">
        <f t="shared" si="13"/>
        <v/>
      </c>
      <c r="AH60" s="407">
        <v>619735.31999999995</v>
      </c>
      <c r="AI60" s="405">
        <f t="shared" si="14"/>
        <v>2367.5707518337408</v>
      </c>
      <c r="AJ60" s="407">
        <v>5971.2</v>
      </c>
      <c r="AK60" s="405">
        <f t="shared" si="15"/>
        <v>22.811735941320293</v>
      </c>
      <c r="AL60" s="407"/>
      <c r="AM60" s="405" t="str">
        <f t="shared" si="16"/>
        <v/>
      </c>
      <c r="AN60" s="407"/>
      <c r="AO60" s="405" t="str">
        <f t="shared" si="17"/>
        <v/>
      </c>
      <c r="AP60" s="407">
        <v>669555.96</v>
      </c>
      <c r="AQ60" s="405">
        <f t="shared" si="18"/>
        <v>2557.9002139364302</v>
      </c>
    </row>
    <row r="61" spans="1:43" x14ac:dyDescent="0.35">
      <c r="A61" s="396"/>
      <c r="B61">
        <v>4.6700999999999997</v>
      </c>
      <c r="D61" s="407">
        <v>1101.99</v>
      </c>
      <c r="E61" s="405">
        <f t="shared" ref="E61:G76" si="21">IF(OR($B61=0,D61=0),"",D61/$B61)</f>
        <v>235.96710991199333</v>
      </c>
      <c r="F61" s="407"/>
      <c r="G61" s="405" t="str">
        <f t="shared" si="21"/>
        <v/>
      </c>
      <c r="H61" s="407"/>
      <c r="I61" s="405" t="str">
        <f t="shared" si="1"/>
        <v/>
      </c>
      <c r="J61" s="407"/>
      <c r="K61" s="405" t="str">
        <f t="shared" si="2"/>
        <v/>
      </c>
      <c r="L61" s="407"/>
      <c r="M61" s="405" t="str">
        <f t="shared" si="3"/>
        <v/>
      </c>
      <c r="N61" s="407">
        <v>226.64</v>
      </c>
      <c r="O61" s="405">
        <f t="shared" si="4"/>
        <v>48.530010064024324</v>
      </c>
      <c r="P61" s="407">
        <v>1254.1600000000001</v>
      </c>
      <c r="Q61" s="405">
        <f t="shared" si="5"/>
        <v>268.55099462538277</v>
      </c>
      <c r="R61" s="407">
        <v>1000.84</v>
      </c>
      <c r="S61" s="405">
        <f t="shared" si="6"/>
        <v>214.30804479561468</v>
      </c>
      <c r="T61" s="407"/>
      <c r="U61" s="405" t="str">
        <f t="shared" si="7"/>
        <v/>
      </c>
      <c r="V61" s="407"/>
      <c r="W61" s="405" t="str">
        <f t="shared" si="8"/>
        <v/>
      </c>
      <c r="X61" s="407"/>
      <c r="Y61" s="405" t="str">
        <f t="shared" si="9"/>
        <v/>
      </c>
      <c r="Z61" s="407"/>
      <c r="AA61" s="405" t="str">
        <f t="shared" si="10"/>
        <v/>
      </c>
      <c r="AB61" s="407"/>
      <c r="AC61" s="405" t="str">
        <f t="shared" si="11"/>
        <v/>
      </c>
      <c r="AD61" s="407"/>
      <c r="AE61" s="405" t="str">
        <f t="shared" si="12"/>
        <v/>
      </c>
      <c r="AF61" s="407"/>
      <c r="AG61" s="405" t="str">
        <f t="shared" si="13"/>
        <v/>
      </c>
      <c r="AH61" s="407">
        <v>74.88</v>
      </c>
      <c r="AI61" s="405">
        <f t="shared" si="14"/>
        <v>16.033917903256889</v>
      </c>
      <c r="AJ61" s="407">
        <v>11332.33</v>
      </c>
      <c r="AK61" s="405">
        <f t="shared" si="15"/>
        <v>2426.571165499668</v>
      </c>
      <c r="AL61" s="407"/>
      <c r="AM61" s="405" t="str">
        <f t="shared" si="16"/>
        <v/>
      </c>
      <c r="AN61" s="407"/>
      <c r="AO61" s="405" t="str">
        <f t="shared" si="17"/>
        <v/>
      </c>
      <c r="AP61" s="407">
        <v>13888.85</v>
      </c>
      <c r="AQ61" s="405">
        <f t="shared" si="18"/>
        <v>2973.9941328879472</v>
      </c>
    </row>
    <row r="62" spans="1:43" x14ac:dyDescent="0.35">
      <c r="A62" s="394" t="s">
        <v>492</v>
      </c>
      <c r="B62" s="395"/>
      <c r="D62" s="404"/>
      <c r="E62" s="405" t="str">
        <f t="shared" si="21"/>
        <v/>
      </c>
      <c r="F62" s="404"/>
      <c r="G62" s="405" t="str">
        <f t="shared" si="21"/>
        <v/>
      </c>
      <c r="H62" s="404"/>
      <c r="I62" s="405" t="str">
        <f t="shared" si="1"/>
        <v/>
      </c>
      <c r="J62" s="404"/>
      <c r="K62" s="405" t="str">
        <f t="shared" si="2"/>
        <v/>
      </c>
      <c r="L62" s="404"/>
      <c r="M62" s="405" t="str">
        <f t="shared" si="3"/>
        <v/>
      </c>
      <c r="N62" s="404"/>
      <c r="O62" s="405" t="str">
        <f t="shared" si="4"/>
        <v/>
      </c>
      <c r="P62" s="404"/>
      <c r="Q62" s="405" t="str">
        <f t="shared" si="5"/>
        <v/>
      </c>
      <c r="R62" s="404"/>
      <c r="S62" s="405" t="str">
        <f t="shared" si="6"/>
        <v/>
      </c>
      <c r="T62" s="404"/>
      <c r="U62" s="405" t="str">
        <f t="shared" si="7"/>
        <v/>
      </c>
      <c r="V62" s="404"/>
      <c r="W62" s="405" t="str">
        <f t="shared" si="8"/>
        <v/>
      </c>
      <c r="X62" s="404"/>
      <c r="Y62" s="405" t="str">
        <f t="shared" si="9"/>
        <v/>
      </c>
      <c r="Z62" s="404"/>
      <c r="AA62" s="405" t="str">
        <f t="shared" si="10"/>
        <v/>
      </c>
      <c r="AB62" s="404"/>
      <c r="AC62" s="405" t="str">
        <f t="shared" si="11"/>
        <v/>
      </c>
      <c r="AD62" s="404"/>
      <c r="AE62" s="405" t="str">
        <f t="shared" si="12"/>
        <v/>
      </c>
      <c r="AF62" s="404"/>
      <c r="AG62" s="405" t="str">
        <f t="shared" si="13"/>
        <v/>
      </c>
      <c r="AH62" s="404"/>
      <c r="AI62" s="405" t="str">
        <f t="shared" si="14"/>
        <v/>
      </c>
      <c r="AJ62" s="404"/>
      <c r="AK62" s="405" t="str">
        <f t="shared" si="15"/>
        <v/>
      </c>
      <c r="AL62" s="404"/>
      <c r="AM62" s="405" t="str">
        <f t="shared" si="16"/>
        <v/>
      </c>
      <c r="AN62" s="404">
        <v>13345</v>
      </c>
      <c r="AO62" s="405" t="str">
        <f t="shared" si="17"/>
        <v/>
      </c>
      <c r="AP62" s="404">
        <v>13345</v>
      </c>
      <c r="AQ62" s="405" t="str">
        <f t="shared" si="18"/>
        <v/>
      </c>
    </row>
    <row r="63" spans="1:43" x14ac:dyDescent="0.35">
      <c r="A63" s="394" t="s">
        <v>432</v>
      </c>
      <c r="B63" s="395">
        <v>124.08</v>
      </c>
      <c r="D63" s="404">
        <v>1556998.94</v>
      </c>
      <c r="E63" s="405">
        <f t="shared" si="21"/>
        <v>12548.347356544165</v>
      </c>
      <c r="F63" s="404">
        <v>24024.68</v>
      </c>
      <c r="G63" s="405">
        <f t="shared" si="21"/>
        <v>193.62250161186333</v>
      </c>
      <c r="H63" s="404"/>
      <c r="I63" s="405" t="str">
        <f t="shared" si="1"/>
        <v/>
      </c>
      <c r="J63" s="404"/>
      <c r="K63" s="405" t="str">
        <f t="shared" si="2"/>
        <v/>
      </c>
      <c r="L63" s="404">
        <v>100269</v>
      </c>
      <c r="M63" s="405">
        <f t="shared" si="3"/>
        <v>808.09961315280464</v>
      </c>
      <c r="N63" s="404">
        <v>7732.88</v>
      </c>
      <c r="O63" s="405">
        <f t="shared" si="4"/>
        <v>62.3217279174726</v>
      </c>
      <c r="P63" s="404">
        <v>4775.3900000000003</v>
      </c>
      <c r="Q63" s="405">
        <f t="shared" si="5"/>
        <v>38.486379754996783</v>
      </c>
      <c r="R63" s="404">
        <v>3291.25</v>
      </c>
      <c r="S63" s="405">
        <f t="shared" si="6"/>
        <v>26.52522566086396</v>
      </c>
      <c r="T63" s="404"/>
      <c r="U63" s="405" t="str">
        <f t="shared" si="7"/>
        <v/>
      </c>
      <c r="V63" s="404"/>
      <c r="W63" s="405" t="str">
        <f t="shared" si="8"/>
        <v/>
      </c>
      <c r="X63" s="404"/>
      <c r="Y63" s="405" t="str">
        <f t="shared" si="9"/>
        <v/>
      </c>
      <c r="Z63" s="404"/>
      <c r="AA63" s="405" t="str">
        <f t="shared" si="10"/>
        <v/>
      </c>
      <c r="AB63" s="404">
        <v>7167.71</v>
      </c>
      <c r="AC63" s="405">
        <f t="shared" si="11"/>
        <v>57.766843971631204</v>
      </c>
      <c r="AD63" s="404"/>
      <c r="AE63" s="405" t="str">
        <f t="shared" si="12"/>
        <v/>
      </c>
      <c r="AF63" s="404"/>
      <c r="AG63" s="405" t="str">
        <f t="shared" si="13"/>
        <v/>
      </c>
      <c r="AH63" s="404"/>
      <c r="AI63" s="405" t="str">
        <f t="shared" si="14"/>
        <v/>
      </c>
      <c r="AJ63" s="404">
        <v>108.41</v>
      </c>
      <c r="AK63" s="405">
        <f t="shared" si="15"/>
        <v>0.87371050934880723</v>
      </c>
      <c r="AL63" s="404"/>
      <c r="AM63" s="405" t="str">
        <f t="shared" si="16"/>
        <v/>
      </c>
      <c r="AN63" s="404"/>
      <c r="AO63" s="405" t="str">
        <f t="shared" si="17"/>
        <v/>
      </c>
      <c r="AP63" s="404">
        <v>147369.32</v>
      </c>
      <c r="AQ63" s="405">
        <f t="shared" si="18"/>
        <v>1187.6960025789813</v>
      </c>
    </row>
    <row r="64" spans="1:43" x14ac:dyDescent="0.35">
      <c r="A64" s="394" t="s">
        <v>493</v>
      </c>
      <c r="B64" s="395">
        <v>31.15</v>
      </c>
      <c r="D64" s="404">
        <v>357530.99</v>
      </c>
      <c r="E64" s="405">
        <f t="shared" si="21"/>
        <v>11477.720385232746</v>
      </c>
      <c r="F64" s="404">
        <v>38902.730000000003</v>
      </c>
      <c r="G64" s="405">
        <f t="shared" si="21"/>
        <v>1248.8837881219906</v>
      </c>
      <c r="H64" s="404"/>
      <c r="I64" s="405" t="str">
        <f t="shared" si="1"/>
        <v/>
      </c>
      <c r="J64" s="404"/>
      <c r="K64" s="405" t="str">
        <f t="shared" si="2"/>
        <v/>
      </c>
      <c r="L64" s="404"/>
      <c r="M64" s="405" t="str">
        <f t="shared" si="3"/>
        <v/>
      </c>
      <c r="N64" s="404">
        <v>1520.46</v>
      </c>
      <c r="O64" s="405">
        <f t="shared" si="4"/>
        <v>48.810914927768863</v>
      </c>
      <c r="P64" s="404">
        <v>-113.2</v>
      </c>
      <c r="Q64" s="405">
        <f t="shared" si="5"/>
        <v>-3.6340288924558588</v>
      </c>
      <c r="R64" s="404">
        <v>1202.8800000000001</v>
      </c>
      <c r="S64" s="405">
        <f t="shared" si="6"/>
        <v>38.615730337078659</v>
      </c>
      <c r="T64" s="404"/>
      <c r="U64" s="405" t="str">
        <f t="shared" si="7"/>
        <v/>
      </c>
      <c r="V64" s="404"/>
      <c r="W64" s="405" t="str">
        <f t="shared" si="8"/>
        <v/>
      </c>
      <c r="X64" s="404"/>
      <c r="Y64" s="405" t="str">
        <f t="shared" si="9"/>
        <v/>
      </c>
      <c r="Z64" s="404">
        <v>145.32</v>
      </c>
      <c r="AA64" s="405">
        <f t="shared" si="10"/>
        <v>4.6651685393258431</v>
      </c>
      <c r="AB64" s="404"/>
      <c r="AC64" s="405" t="str">
        <f t="shared" si="11"/>
        <v/>
      </c>
      <c r="AD64" s="404">
        <v>89630.36</v>
      </c>
      <c r="AE64" s="405">
        <f t="shared" si="12"/>
        <v>2877.3791332263245</v>
      </c>
      <c r="AF64" s="404"/>
      <c r="AG64" s="405" t="str">
        <f t="shared" si="13"/>
        <v/>
      </c>
      <c r="AH64" s="404"/>
      <c r="AI64" s="405" t="str">
        <f t="shared" si="14"/>
        <v/>
      </c>
      <c r="AJ64" s="404">
        <v>62518.65</v>
      </c>
      <c r="AK64" s="405">
        <f t="shared" si="15"/>
        <v>2007.0192616372392</v>
      </c>
      <c r="AL64" s="404"/>
      <c r="AM64" s="405" t="str">
        <f t="shared" si="16"/>
        <v/>
      </c>
      <c r="AN64" s="404"/>
      <c r="AO64" s="405" t="str">
        <f t="shared" si="17"/>
        <v/>
      </c>
      <c r="AP64" s="404">
        <v>193807.2</v>
      </c>
      <c r="AQ64" s="405">
        <f t="shared" si="18"/>
        <v>6221.7399678972715</v>
      </c>
    </row>
    <row r="65" spans="1:43" x14ac:dyDescent="0.35">
      <c r="A65" s="396"/>
      <c r="B65">
        <v>1.3</v>
      </c>
      <c r="D65" s="407"/>
      <c r="E65" s="405" t="str">
        <f t="shared" si="21"/>
        <v/>
      </c>
      <c r="F65" s="407"/>
      <c r="G65" s="405" t="str">
        <f t="shared" si="21"/>
        <v/>
      </c>
      <c r="H65" s="407"/>
      <c r="I65" s="405" t="str">
        <f t="shared" si="1"/>
        <v/>
      </c>
      <c r="J65" s="407"/>
      <c r="K65" s="405" t="str">
        <f t="shared" si="2"/>
        <v/>
      </c>
      <c r="L65" s="407"/>
      <c r="M65" s="405" t="str">
        <f t="shared" si="3"/>
        <v/>
      </c>
      <c r="N65" s="407"/>
      <c r="O65" s="405" t="str">
        <f t="shared" si="4"/>
        <v/>
      </c>
      <c r="P65" s="407"/>
      <c r="Q65" s="405" t="str">
        <f t="shared" si="5"/>
        <v/>
      </c>
      <c r="R65" s="407"/>
      <c r="S65" s="405" t="str">
        <f t="shared" si="6"/>
        <v/>
      </c>
      <c r="T65" s="407"/>
      <c r="U65" s="405" t="str">
        <f t="shared" si="7"/>
        <v/>
      </c>
      <c r="V65" s="407"/>
      <c r="W65" s="405" t="str">
        <f t="shared" si="8"/>
        <v/>
      </c>
      <c r="X65" s="407"/>
      <c r="Y65" s="405" t="str">
        <f t="shared" si="9"/>
        <v/>
      </c>
      <c r="Z65" s="407"/>
      <c r="AA65" s="405" t="str">
        <f t="shared" si="10"/>
        <v/>
      </c>
      <c r="AB65" s="407"/>
      <c r="AC65" s="405" t="str">
        <f t="shared" si="11"/>
        <v/>
      </c>
      <c r="AD65" s="407">
        <v>8512.6200000000008</v>
      </c>
      <c r="AE65" s="405">
        <f t="shared" si="12"/>
        <v>6548.169230769231</v>
      </c>
      <c r="AF65" s="407"/>
      <c r="AG65" s="405" t="str">
        <f t="shared" si="13"/>
        <v/>
      </c>
      <c r="AH65" s="407"/>
      <c r="AI65" s="405" t="str">
        <f t="shared" si="14"/>
        <v/>
      </c>
      <c r="AJ65" s="407">
        <v>54.16</v>
      </c>
      <c r="AK65" s="405">
        <f t="shared" si="15"/>
        <v>41.661538461538456</v>
      </c>
      <c r="AL65" s="407"/>
      <c r="AM65" s="405" t="str">
        <f t="shared" si="16"/>
        <v/>
      </c>
      <c r="AN65" s="407"/>
      <c r="AO65" s="405" t="str">
        <f t="shared" si="17"/>
        <v/>
      </c>
      <c r="AP65" s="407">
        <v>8566.7800000000007</v>
      </c>
      <c r="AQ65" s="405">
        <f t="shared" si="18"/>
        <v>6589.8307692307699</v>
      </c>
    </row>
    <row r="66" spans="1:43" x14ac:dyDescent="0.35">
      <c r="A66" s="396"/>
      <c r="B66">
        <v>2.94</v>
      </c>
      <c r="D66" s="407">
        <v>4846.32</v>
      </c>
      <c r="E66" s="405">
        <f t="shared" si="21"/>
        <v>1648.408163265306</v>
      </c>
      <c r="F66" s="407"/>
      <c r="G66" s="405" t="str">
        <f t="shared" si="21"/>
        <v/>
      </c>
      <c r="H66" s="407"/>
      <c r="I66" s="405" t="str">
        <f t="shared" si="1"/>
        <v/>
      </c>
      <c r="J66" s="407"/>
      <c r="K66" s="405" t="str">
        <f t="shared" si="2"/>
        <v/>
      </c>
      <c r="L66" s="407"/>
      <c r="M66" s="405" t="str">
        <f t="shared" si="3"/>
        <v/>
      </c>
      <c r="N66" s="407">
        <v>360</v>
      </c>
      <c r="O66" s="405">
        <f t="shared" si="4"/>
        <v>122.44897959183673</v>
      </c>
      <c r="P66" s="407">
        <v>117.18</v>
      </c>
      <c r="Q66" s="405">
        <f t="shared" si="5"/>
        <v>39.857142857142861</v>
      </c>
      <c r="R66" s="407">
        <v>12.98</v>
      </c>
      <c r="S66" s="405">
        <f t="shared" si="6"/>
        <v>4.4149659863945576</v>
      </c>
      <c r="T66" s="407">
        <v>90.48</v>
      </c>
      <c r="U66" s="405">
        <f t="shared" si="7"/>
        <v>30.775510204081634</v>
      </c>
      <c r="V66" s="407"/>
      <c r="W66" s="405" t="str">
        <f t="shared" si="8"/>
        <v/>
      </c>
      <c r="X66" s="407"/>
      <c r="Y66" s="405" t="str">
        <f t="shared" si="9"/>
        <v/>
      </c>
      <c r="Z66" s="407"/>
      <c r="AA66" s="405" t="str">
        <f t="shared" si="10"/>
        <v/>
      </c>
      <c r="AB66" s="407"/>
      <c r="AC66" s="405" t="str">
        <f t="shared" si="11"/>
        <v/>
      </c>
      <c r="AD66" s="407">
        <v>1239.03</v>
      </c>
      <c r="AE66" s="405">
        <f t="shared" si="12"/>
        <v>421.4387755102041</v>
      </c>
      <c r="AF66" s="407"/>
      <c r="AG66" s="405" t="str">
        <f t="shared" si="13"/>
        <v/>
      </c>
      <c r="AH66" s="407"/>
      <c r="AI66" s="405" t="str">
        <f t="shared" si="14"/>
        <v/>
      </c>
      <c r="AJ66" s="407">
        <v>686.05</v>
      </c>
      <c r="AK66" s="405">
        <f t="shared" si="15"/>
        <v>233.3503401360544</v>
      </c>
      <c r="AL66" s="407"/>
      <c r="AM66" s="405" t="str">
        <f t="shared" si="16"/>
        <v/>
      </c>
      <c r="AN66" s="407"/>
      <c r="AO66" s="405" t="str">
        <f t="shared" si="17"/>
        <v/>
      </c>
      <c r="AP66" s="407">
        <v>2505.7199999999998</v>
      </c>
      <c r="AQ66" s="405">
        <f t="shared" si="18"/>
        <v>852.28571428571422</v>
      </c>
    </row>
    <row r="67" spans="1:43" x14ac:dyDescent="0.35">
      <c r="A67" s="396"/>
      <c r="B67">
        <v>10.401</v>
      </c>
      <c r="D67" s="407">
        <v>257720.13</v>
      </c>
      <c r="E67" s="405">
        <f t="shared" si="21"/>
        <v>24778.39919238535</v>
      </c>
      <c r="F67" s="407">
        <v>9375</v>
      </c>
      <c r="G67" s="405">
        <f t="shared" si="21"/>
        <v>901.35563888087688</v>
      </c>
      <c r="H67" s="407"/>
      <c r="I67" s="405" t="str">
        <f t="shared" si="1"/>
        <v/>
      </c>
      <c r="J67" s="407"/>
      <c r="K67" s="405" t="str">
        <f t="shared" si="2"/>
        <v/>
      </c>
      <c r="L67" s="407"/>
      <c r="M67" s="405" t="str">
        <f t="shared" si="3"/>
        <v/>
      </c>
      <c r="N67" s="407">
        <v>585.25</v>
      </c>
      <c r="O67" s="405">
        <f t="shared" si="4"/>
        <v>56.268628016536873</v>
      </c>
      <c r="P67" s="407">
        <v>61</v>
      </c>
      <c r="Q67" s="405">
        <f t="shared" si="5"/>
        <v>5.8648206903182389</v>
      </c>
      <c r="R67" s="407">
        <v>56836.54</v>
      </c>
      <c r="S67" s="405">
        <f t="shared" si="6"/>
        <v>5464.5264878377084</v>
      </c>
      <c r="T67" s="407">
        <v>2495.2399999999998</v>
      </c>
      <c r="U67" s="405">
        <f t="shared" si="7"/>
        <v>239.90385539851937</v>
      </c>
      <c r="V67" s="407">
        <v>4878.87</v>
      </c>
      <c r="W67" s="405">
        <f t="shared" si="8"/>
        <v>469.07701182578597</v>
      </c>
      <c r="X67" s="407"/>
      <c r="Y67" s="405" t="str">
        <f t="shared" si="9"/>
        <v/>
      </c>
      <c r="Z67" s="407">
        <v>920.56</v>
      </c>
      <c r="AA67" s="405">
        <f t="shared" si="10"/>
        <v>88.506874339005861</v>
      </c>
      <c r="AB67" s="407"/>
      <c r="AC67" s="405" t="str">
        <f t="shared" si="11"/>
        <v/>
      </c>
      <c r="AD67" s="407">
        <v>7511.83</v>
      </c>
      <c r="AE67" s="405">
        <f t="shared" si="12"/>
        <v>722.22190174021728</v>
      </c>
      <c r="AF67" s="407"/>
      <c r="AG67" s="405" t="str">
        <f t="shared" si="13"/>
        <v/>
      </c>
      <c r="AH67" s="407"/>
      <c r="AI67" s="405" t="str">
        <f t="shared" si="14"/>
        <v/>
      </c>
      <c r="AJ67" s="407">
        <v>11739.08</v>
      </c>
      <c r="AK67" s="405">
        <f t="shared" si="15"/>
        <v>1128.6491683491972</v>
      </c>
      <c r="AL67" s="407"/>
      <c r="AM67" s="405" t="str">
        <f t="shared" si="16"/>
        <v/>
      </c>
      <c r="AN67" s="407"/>
      <c r="AO67" s="405" t="str">
        <f t="shared" si="17"/>
        <v/>
      </c>
      <c r="AP67" s="407">
        <v>94403.37</v>
      </c>
      <c r="AQ67" s="405">
        <f t="shared" si="18"/>
        <v>9076.3743870781655</v>
      </c>
    </row>
    <row r="68" spans="1:43" x14ac:dyDescent="0.35">
      <c r="A68" s="396"/>
      <c r="B68">
        <v>4.4400000000000004</v>
      </c>
      <c r="D68" s="407">
        <v>119386.27</v>
      </c>
      <c r="E68" s="405">
        <f t="shared" si="21"/>
        <v>26888.799549549549</v>
      </c>
      <c r="F68" s="407"/>
      <c r="G68" s="405" t="str">
        <f t="shared" si="21"/>
        <v/>
      </c>
      <c r="H68" s="407"/>
      <c r="I68" s="405" t="str">
        <f t="shared" si="1"/>
        <v/>
      </c>
      <c r="J68" s="407"/>
      <c r="K68" s="405" t="str">
        <f t="shared" si="2"/>
        <v/>
      </c>
      <c r="L68" s="407"/>
      <c r="M68" s="405" t="str">
        <f t="shared" si="3"/>
        <v/>
      </c>
      <c r="N68" s="407">
        <v>25</v>
      </c>
      <c r="O68" s="405">
        <f t="shared" si="4"/>
        <v>5.6306306306306304</v>
      </c>
      <c r="P68" s="407">
        <v>1186.1600000000001</v>
      </c>
      <c r="Q68" s="405">
        <f t="shared" si="5"/>
        <v>267.15315315315314</v>
      </c>
      <c r="R68" s="407">
        <v>8.8699999999999992</v>
      </c>
      <c r="S68" s="405">
        <f t="shared" si="6"/>
        <v>1.9977477477477474</v>
      </c>
      <c r="T68" s="407">
        <v>19.5</v>
      </c>
      <c r="U68" s="405">
        <f t="shared" si="7"/>
        <v>4.3918918918918912</v>
      </c>
      <c r="V68" s="407"/>
      <c r="W68" s="405" t="str">
        <f t="shared" si="8"/>
        <v/>
      </c>
      <c r="X68" s="407"/>
      <c r="Y68" s="405" t="str">
        <f t="shared" si="9"/>
        <v/>
      </c>
      <c r="Z68" s="407"/>
      <c r="AA68" s="405" t="str">
        <f t="shared" si="10"/>
        <v/>
      </c>
      <c r="AB68" s="407"/>
      <c r="AC68" s="405" t="str">
        <f t="shared" si="11"/>
        <v/>
      </c>
      <c r="AD68" s="407">
        <v>34442.03</v>
      </c>
      <c r="AE68" s="405">
        <f t="shared" si="12"/>
        <v>7757.2139639639627</v>
      </c>
      <c r="AF68" s="407"/>
      <c r="AG68" s="405" t="str">
        <f t="shared" si="13"/>
        <v/>
      </c>
      <c r="AH68" s="407"/>
      <c r="AI68" s="405" t="str">
        <f t="shared" si="14"/>
        <v/>
      </c>
      <c r="AJ68" s="407">
        <v>2098.25</v>
      </c>
      <c r="AK68" s="405">
        <f t="shared" si="15"/>
        <v>472.57882882882876</v>
      </c>
      <c r="AL68" s="407"/>
      <c r="AM68" s="405" t="str">
        <f t="shared" si="16"/>
        <v/>
      </c>
      <c r="AN68" s="407"/>
      <c r="AO68" s="405" t="str">
        <f t="shared" si="17"/>
        <v/>
      </c>
      <c r="AP68" s="407">
        <v>37779.81</v>
      </c>
      <c r="AQ68" s="405">
        <f t="shared" si="18"/>
        <v>8508.9662162162149</v>
      </c>
    </row>
    <row r="69" spans="1:43" x14ac:dyDescent="0.35">
      <c r="A69" s="396"/>
      <c r="B69">
        <v>8.6201000000000008</v>
      </c>
      <c r="D69" s="407">
        <v>138612.73000000001</v>
      </c>
      <c r="E69" s="405">
        <f t="shared" si="21"/>
        <v>16080.176564076983</v>
      </c>
      <c r="F69" s="407">
        <v>19047.080000000002</v>
      </c>
      <c r="G69" s="405">
        <f t="shared" si="21"/>
        <v>2209.6124174893562</v>
      </c>
      <c r="H69" s="407"/>
      <c r="I69" s="405" t="str">
        <f t="shared" si="1"/>
        <v/>
      </c>
      <c r="J69" s="407"/>
      <c r="K69" s="405" t="str">
        <f t="shared" si="2"/>
        <v/>
      </c>
      <c r="L69" s="407"/>
      <c r="M69" s="405" t="str">
        <f t="shared" si="3"/>
        <v/>
      </c>
      <c r="N69" s="407"/>
      <c r="O69" s="405" t="str">
        <f t="shared" si="4"/>
        <v/>
      </c>
      <c r="P69" s="407"/>
      <c r="Q69" s="405" t="str">
        <f t="shared" si="5"/>
        <v/>
      </c>
      <c r="R69" s="407"/>
      <c r="S69" s="405" t="str">
        <f t="shared" si="6"/>
        <v/>
      </c>
      <c r="T69" s="407"/>
      <c r="U69" s="405" t="str">
        <f t="shared" si="7"/>
        <v/>
      </c>
      <c r="V69" s="407"/>
      <c r="W69" s="405" t="str">
        <f t="shared" si="8"/>
        <v/>
      </c>
      <c r="X69" s="407"/>
      <c r="Y69" s="405" t="str">
        <f t="shared" si="9"/>
        <v/>
      </c>
      <c r="Z69" s="407"/>
      <c r="AA69" s="405" t="str">
        <f t="shared" si="10"/>
        <v/>
      </c>
      <c r="AB69" s="407"/>
      <c r="AC69" s="405" t="str">
        <f t="shared" si="11"/>
        <v/>
      </c>
      <c r="AD69" s="407">
        <v>8213428.1600000001</v>
      </c>
      <c r="AE69" s="405">
        <f t="shared" si="12"/>
        <v>952822.83964223147</v>
      </c>
      <c r="AF69" s="407"/>
      <c r="AG69" s="405" t="str">
        <f t="shared" si="13"/>
        <v/>
      </c>
      <c r="AH69" s="407"/>
      <c r="AI69" s="405" t="str">
        <f t="shared" si="14"/>
        <v/>
      </c>
      <c r="AJ69" s="407">
        <v>14838.86</v>
      </c>
      <c r="AK69" s="405">
        <f t="shared" si="15"/>
        <v>1721.4255055045764</v>
      </c>
      <c r="AL69" s="407"/>
      <c r="AM69" s="405" t="str">
        <f t="shared" si="16"/>
        <v/>
      </c>
      <c r="AN69" s="407"/>
      <c r="AO69" s="405" t="str">
        <f t="shared" si="17"/>
        <v/>
      </c>
      <c r="AP69" s="407">
        <v>8247314.0999999996</v>
      </c>
      <c r="AQ69" s="405">
        <f t="shared" si="18"/>
        <v>956753.87756522535</v>
      </c>
    </row>
    <row r="70" spans="1:43" x14ac:dyDescent="0.35">
      <c r="A70" s="394" t="s">
        <v>433</v>
      </c>
      <c r="B70" s="395">
        <v>3.0661813186813198</v>
      </c>
      <c r="D70" s="404">
        <v>33452.15</v>
      </c>
      <c r="E70" s="405">
        <f t="shared" si="21"/>
        <v>10910.036466593192</v>
      </c>
      <c r="F70" s="404">
        <v>36</v>
      </c>
      <c r="G70" s="405">
        <f t="shared" si="21"/>
        <v>11.740988629949193</v>
      </c>
      <c r="H70" s="404"/>
      <c r="I70" s="405" t="str">
        <f t="shared" si="1"/>
        <v/>
      </c>
      <c r="J70" s="404"/>
      <c r="K70" s="405" t="str">
        <f t="shared" si="2"/>
        <v/>
      </c>
      <c r="L70" s="404"/>
      <c r="M70" s="405" t="str">
        <f t="shared" si="3"/>
        <v/>
      </c>
      <c r="N70" s="404">
        <v>33</v>
      </c>
      <c r="O70" s="405">
        <f t="shared" si="4"/>
        <v>10.76257291078676</v>
      </c>
      <c r="P70" s="404">
        <v>768.49</v>
      </c>
      <c r="Q70" s="405">
        <f t="shared" si="5"/>
        <v>250.63423200637934</v>
      </c>
      <c r="R70" s="404"/>
      <c r="S70" s="405" t="str">
        <f t="shared" si="6"/>
        <v/>
      </c>
      <c r="T70" s="404"/>
      <c r="U70" s="405" t="str">
        <f t="shared" si="7"/>
        <v/>
      </c>
      <c r="V70" s="404">
        <v>2</v>
      </c>
      <c r="W70" s="405">
        <f t="shared" si="8"/>
        <v>0.65227714610828846</v>
      </c>
      <c r="X70" s="404"/>
      <c r="Y70" s="405" t="str">
        <f t="shared" si="9"/>
        <v/>
      </c>
      <c r="Z70" s="404">
        <v>96.86</v>
      </c>
      <c r="AA70" s="405">
        <f t="shared" si="10"/>
        <v>31.589782186024411</v>
      </c>
      <c r="AB70" s="404"/>
      <c r="AC70" s="405" t="str">
        <f t="shared" si="11"/>
        <v/>
      </c>
      <c r="AD70" s="404"/>
      <c r="AE70" s="405" t="str">
        <f t="shared" si="12"/>
        <v/>
      </c>
      <c r="AF70" s="404"/>
      <c r="AG70" s="405" t="str">
        <f t="shared" si="13"/>
        <v/>
      </c>
      <c r="AH70" s="404"/>
      <c r="AI70" s="405" t="str">
        <f t="shared" si="14"/>
        <v/>
      </c>
      <c r="AJ70" s="404">
        <v>288.18</v>
      </c>
      <c r="AK70" s="405">
        <f t="shared" si="15"/>
        <v>93.986613982743293</v>
      </c>
      <c r="AL70" s="404"/>
      <c r="AM70" s="405" t="str">
        <f t="shared" si="16"/>
        <v/>
      </c>
      <c r="AN70" s="404">
        <v>1309.2</v>
      </c>
      <c r="AO70" s="405">
        <f t="shared" si="17"/>
        <v>426.98061984248568</v>
      </c>
      <c r="AP70" s="404">
        <v>2533.73</v>
      </c>
      <c r="AQ70" s="405">
        <f t="shared" si="18"/>
        <v>826.34708670447696</v>
      </c>
    </row>
    <row r="71" spans="1:43" x14ac:dyDescent="0.35">
      <c r="A71" s="396"/>
      <c r="B71">
        <v>110.95</v>
      </c>
      <c r="D71" s="407">
        <v>2609260.02</v>
      </c>
      <c r="E71" s="405">
        <f t="shared" si="21"/>
        <v>23517.440468679586</v>
      </c>
      <c r="F71" s="407">
        <v>228674.7</v>
      </c>
      <c r="G71" s="405">
        <f t="shared" si="21"/>
        <v>2061.0608382154123</v>
      </c>
      <c r="H71" s="407"/>
      <c r="I71" s="405" t="str">
        <f t="shared" si="1"/>
        <v/>
      </c>
      <c r="J71" s="407"/>
      <c r="K71" s="405" t="str">
        <f t="shared" si="2"/>
        <v/>
      </c>
      <c r="L71" s="407"/>
      <c r="M71" s="405" t="str">
        <f t="shared" si="3"/>
        <v/>
      </c>
      <c r="N71" s="407">
        <v>14820.63</v>
      </c>
      <c r="O71" s="405">
        <f t="shared" si="4"/>
        <v>133.57936007210455</v>
      </c>
      <c r="P71" s="407">
        <v>76536.990000000005</v>
      </c>
      <c r="Q71" s="405">
        <f t="shared" si="5"/>
        <v>689.83316809373594</v>
      </c>
      <c r="R71" s="407">
        <v>472.47</v>
      </c>
      <c r="S71" s="405">
        <f t="shared" si="6"/>
        <v>4.2584046867958545</v>
      </c>
      <c r="T71" s="407">
        <v>4095.75</v>
      </c>
      <c r="U71" s="405">
        <f t="shared" si="7"/>
        <v>36.915277151870214</v>
      </c>
      <c r="V71" s="407">
        <v>3737.7</v>
      </c>
      <c r="W71" s="405">
        <f t="shared" si="8"/>
        <v>33.688147814330776</v>
      </c>
      <c r="X71" s="407"/>
      <c r="Y71" s="405" t="str">
        <f t="shared" si="9"/>
        <v/>
      </c>
      <c r="Z71" s="407">
        <v>1708205</v>
      </c>
      <c r="AA71" s="405">
        <f t="shared" si="10"/>
        <v>15396.16944569626</v>
      </c>
      <c r="AB71" s="407"/>
      <c r="AC71" s="405" t="str">
        <f t="shared" si="11"/>
        <v/>
      </c>
      <c r="AD71" s="407"/>
      <c r="AE71" s="405" t="str">
        <f t="shared" si="12"/>
        <v/>
      </c>
      <c r="AF71" s="407"/>
      <c r="AG71" s="405" t="str">
        <f t="shared" si="13"/>
        <v/>
      </c>
      <c r="AH71" s="407"/>
      <c r="AI71" s="405" t="str">
        <f t="shared" si="14"/>
        <v/>
      </c>
      <c r="AJ71" s="407">
        <v>64599.85</v>
      </c>
      <c r="AK71" s="405">
        <f t="shared" si="15"/>
        <v>582.24290220820183</v>
      </c>
      <c r="AL71" s="407"/>
      <c r="AM71" s="405" t="str">
        <f t="shared" si="16"/>
        <v/>
      </c>
      <c r="AN71" s="407">
        <v>156047.26</v>
      </c>
      <c r="AO71" s="405">
        <f t="shared" si="17"/>
        <v>1406.4647138350608</v>
      </c>
      <c r="AP71" s="407">
        <v>2257190.35</v>
      </c>
      <c r="AQ71" s="405">
        <f t="shared" si="18"/>
        <v>20344.212257773772</v>
      </c>
    </row>
    <row r="72" spans="1:43" x14ac:dyDescent="0.35">
      <c r="A72" s="396"/>
      <c r="D72" s="407"/>
      <c r="E72" s="405" t="str">
        <f t="shared" si="21"/>
        <v/>
      </c>
      <c r="F72" s="407"/>
      <c r="G72" s="405" t="str">
        <f t="shared" si="21"/>
        <v/>
      </c>
      <c r="H72" s="407"/>
      <c r="I72" s="405" t="str">
        <f t="shared" si="1"/>
        <v/>
      </c>
      <c r="J72" s="407"/>
      <c r="K72" s="405" t="str">
        <f t="shared" si="2"/>
        <v/>
      </c>
      <c r="L72" s="407"/>
      <c r="M72" s="405" t="str">
        <f t="shared" si="3"/>
        <v/>
      </c>
      <c r="N72" s="407"/>
      <c r="O72" s="405" t="str">
        <f t="shared" si="4"/>
        <v/>
      </c>
      <c r="P72" s="407"/>
      <c r="Q72" s="405" t="str">
        <f t="shared" si="5"/>
        <v/>
      </c>
      <c r="R72" s="407"/>
      <c r="S72" s="405" t="str">
        <f t="shared" si="6"/>
        <v/>
      </c>
      <c r="T72" s="407"/>
      <c r="U72" s="405" t="str">
        <f t="shared" si="7"/>
        <v/>
      </c>
      <c r="V72" s="407"/>
      <c r="W72" s="405" t="str">
        <f t="shared" si="8"/>
        <v/>
      </c>
      <c r="X72" s="407"/>
      <c r="Y72" s="405" t="str">
        <f t="shared" si="9"/>
        <v/>
      </c>
      <c r="Z72" s="407"/>
      <c r="AA72" s="405" t="str">
        <f t="shared" si="10"/>
        <v/>
      </c>
      <c r="AB72" s="407"/>
      <c r="AC72" s="405" t="str">
        <f t="shared" si="11"/>
        <v/>
      </c>
      <c r="AD72" s="407"/>
      <c r="AE72" s="405" t="str">
        <f t="shared" si="12"/>
        <v/>
      </c>
      <c r="AF72" s="407"/>
      <c r="AG72" s="405" t="str">
        <f t="shared" si="13"/>
        <v/>
      </c>
      <c r="AH72" s="407"/>
      <c r="AI72" s="405" t="str">
        <f t="shared" si="14"/>
        <v/>
      </c>
      <c r="AJ72" s="407"/>
      <c r="AK72" s="405" t="str">
        <f t="shared" si="15"/>
        <v/>
      </c>
      <c r="AL72" s="407"/>
      <c r="AM72" s="405" t="str">
        <f t="shared" si="16"/>
        <v/>
      </c>
      <c r="AN72" s="407"/>
      <c r="AO72" s="405" t="str">
        <f t="shared" si="17"/>
        <v/>
      </c>
      <c r="AP72" s="407"/>
      <c r="AQ72" s="405" t="str">
        <f t="shared" si="18"/>
        <v/>
      </c>
    </row>
    <row r="73" spans="1:43" x14ac:dyDescent="0.35">
      <c r="A73" s="396"/>
      <c r="B73">
        <v>6.1</v>
      </c>
      <c r="D73" s="407">
        <v>222551.67999999999</v>
      </c>
      <c r="E73" s="405">
        <f t="shared" si="21"/>
        <v>36483.881967213114</v>
      </c>
      <c r="F73" s="407">
        <v>10</v>
      </c>
      <c r="G73" s="405">
        <f t="shared" si="21"/>
        <v>1.639344262295082</v>
      </c>
      <c r="H73" s="407"/>
      <c r="I73" s="405" t="str">
        <f t="shared" si="1"/>
        <v/>
      </c>
      <c r="J73" s="407"/>
      <c r="K73" s="405" t="str">
        <f t="shared" si="2"/>
        <v/>
      </c>
      <c r="L73" s="407"/>
      <c r="M73" s="405" t="str">
        <f t="shared" si="3"/>
        <v/>
      </c>
      <c r="N73" s="407">
        <v>1268.28</v>
      </c>
      <c r="O73" s="405">
        <f t="shared" si="4"/>
        <v>207.91475409836067</v>
      </c>
      <c r="P73" s="407">
        <v>1412.06</v>
      </c>
      <c r="Q73" s="405">
        <f t="shared" si="5"/>
        <v>231.48524590163936</v>
      </c>
      <c r="R73" s="407"/>
      <c r="S73" s="405" t="str">
        <f t="shared" si="6"/>
        <v/>
      </c>
      <c r="T73" s="407">
        <v>345.42</v>
      </c>
      <c r="U73" s="405">
        <f t="shared" si="7"/>
        <v>56.62622950819673</v>
      </c>
      <c r="V73" s="407"/>
      <c r="W73" s="405" t="str">
        <f t="shared" si="8"/>
        <v/>
      </c>
      <c r="X73" s="407"/>
      <c r="Y73" s="405" t="str">
        <f t="shared" si="9"/>
        <v/>
      </c>
      <c r="Z73" s="407"/>
      <c r="AA73" s="405" t="str">
        <f t="shared" si="10"/>
        <v/>
      </c>
      <c r="AB73" s="407"/>
      <c r="AC73" s="405" t="str">
        <f t="shared" si="11"/>
        <v/>
      </c>
      <c r="AD73" s="407"/>
      <c r="AE73" s="405" t="str">
        <f t="shared" si="12"/>
        <v/>
      </c>
      <c r="AF73" s="407"/>
      <c r="AG73" s="405" t="str">
        <f t="shared" si="13"/>
        <v/>
      </c>
      <c r="AH73" s="407"/>
      <c r="AI73" s="405" t="str">
        <f t="shared" si="14"/>
        <v/>
      </c>
      <c r="AJ73" s="407">
        <v>5574.03</v>
      </c>
      <c r="AK73" s="405">
        <f t="shared" si="15"/>
        <v>913.77540983606559</v>
      </c>
      <c r="AL73" s="407"/>
      <c r="AM73" s="405" t="str">
        <f t="shared" si="16"/>
        <v/>
      </c>
      <c r="AN73" s="407">
        <v>44</v>
      </c>
      <c r="AO73" s="405">
        <f t="shared" si="17"/>
        <v>7.2131147540983607</v>
      </c>
      <c r="AP73" s="407">
        <v>8653.7900000000009</v>
      </c>
      <c r="AQ73" s="405">
        <f t="shared" si="18"/>
        <v>1418.654098360656</v>
      </c>
    </row>
    <row r="74" spans="1:43" x14ac:dyDescent="0.35">
      <c r="A74" s="394" t="s">
        <v>434</v>
      </c>
      <c r="B74" s="395">
        <v>17.329999999999998</v>
      </c>
      <c r="D74" s="404">
        <v>126313</v>
      </c>
      <c r="E74" s="405">
        <f t="shared" si="21"/>
        <v>7288.6901327178311</v>
      </c>
      <c r="F74" s="404"/>
      <c r="G74" s="405" t="str">
        <f t="shared" si="21"/>
        <v/>
      </c>
      <c r="H74" s="404"/>
      <c r="I74" s="405" t="str">
        <f t="shared" si="1"/>
        <v/>
      </c>
      <c r="J74" s="404">
        <v>225</v>
      </c>
      <c r="K74" s="405">
        <f t="shared" si="2"/>
        <v>12.983266012694751</v>
      </c>
      <c r="L74" s="404"/>
      <c r="M74" s="405" t="str">
        <f t="shared" si="3"/>
        <v/>
      </c>
      <c r="N74" s="404"/>
      <c r="O74" s="405" t="str">
        <f t="shared" si="4"/>
        <v/>
      </c>
      <c r="P74" s="404"/>
      <c r="Q74" s="405" t="str">
        <f t="shared" si="5"/>
        <v/>
      </c>
      <c r="R74" s="404">
        <v>150</v>
      </c>
      <c r="S74" s="405">
        <f t="shared" si="6"/>
        <v>8.6555106751298343</v>
      </c>
      <c r="T74" s="404">
        <v>13</v>
      </c>
      <c r="U74" s="405">
        <f t="shared" si="7"/>
        <v>0.75014425851125222</v>
      </c>
      <c r="V74" s="404"/>
      <c r="W74" s="405" t="str">
        <f t="shared" si="8"/>
        <v/>
      </c>
      <c r="X74" s="404"/>
      <c r="Y74" s="405" t="str">
        <f t="shared" si="9"/>
        <v/>
      </c>
      <c r="Z74" s="404">
        <v>121916</v>
      </c>
      <c r="AA74" s="405">
        <f t="shared" si="10"/>
        <v>7034.9682631275255</v>
      </c>
      <c r="AB74" s="404"/>
      <c r="AC74" s="405" t="str">
        <f t="shared" si="11"/>
        <v/>
      </c>
      <c r="AD74" s="404"/>
      <c r="AE74" s="405" t="str">
        <f t="shared" si="12"/>
        <v/>
      </c>
      <c r="AF74" s="404"/>
      <c r="AG74" s="405" t="str">
        <f t="shared" si="13"/>
        <v/>
      </c>
      <c r="AH74" s="404"/>
      <c r="AI74" s="405" t="str">
        <f t="shared" si="14"/>
        <v/>
      </c>
      <c r="AJ74" s="404">
        <v>54257</v>
      </c>
      <c r="AK74" s="405">
        <f t="shared" si="15"/>
        <v>3130.8136180034626</v>
      </c>
      <c r="AL74" s="404"/>
      <c r="AM74" s="405" t="str">
        <f t="shared" si="16"/>
        <v/>
      </c>
      <c r="AN74" s="404"/>
      <c r="AO74" s="405" t="str">
        <f t="shared" si="17"/>
        <v/>
      </c>
      <c r="AP74" s="404">
        <v>176561</v>
      </c>
      <c r="AQ74" s="405">
        <f t="shared" si="18"/>
        <v>10188.170802077324</v>
      </c>
    </row>
    <row r="75" spans="1:43" x14ac:dyDescent="0.35">
      <c r="A75" s="396"/>
      <c r="B75">
        <v>12.49</v>
      </c>
      <c r="D75" s="407">
        <v>21003</v>
      </c>
      <c r="E75" s="405">
        <f t="shared" si="21"/>
        <v>1681.5852682145717</v>
      </c>
      <c r="F75" s="407">
        <v>92</v>
      </c>
      <c r="G75" s="405">
        <f t="shared" si="21"/>
        <v>7.3658927141713368</v>
      </c>
      <c r="H75" s="407"/>
      <c r="I75" s="405" t="str">
        <f t="shared" si="1"/>
        <v/>
      </c>
      <c r="J75" s="407"/>
      <c r="K75" s="405" t="str">
        <f t="shared" si="2"/>
        <v/>
      </c>
      <c r="L75" s="407"/>
      <c r="M75" s="405" t="str">
        <f t="shared" si="3"/>
        <v/>
      </c>
      <c r="N75" s="407"/>
      <c r="O75" s="405" t="str">
        <f t="shared" si="4"/>
        <v/>
      </c>
      <c r="P75" s="407"/>
      <c r="Q75" s="405" t="str">
        <f t="shared" si="5"/>
        <v/>
      </c>
      <c r="R75" s="407">
        <v>29</v>
      </c>
      <c r="S75" s="405">
        <f t="shared" si="6"/>
        <v>2.321857485988791</v>
      </c>
      <c r="T75" s="407"/>
      <c r="U75" s="405" t="str">
        <f t="shared" si="7"/>
        <v/>
      </c>
      <c r="V75" s="407"/>
      <c r="W75" s="405" t="str">
        <f t="shared" si="8"/>
        <v/>
      </c>
      <c r="X75" s="407"/>
      <c r="Y75" s="405" t="str">
        <f t="shared" si="9"/>
        <v/>
      </c>
      <c r="Z75" s="407">
        <v>249</v>
      </c>
      <c r="AA75" s="405">
        <f t="shared" si="10"/>
        <v>19.935948759007207</v>
      </c>
      <c r="AB75" s="407"/>
      <c r="AC75" s="405" t="str">
        <f t="shared" si="11"/>
        <v/>
      </c>
      <c r="AD75" s="407"/>
      <c r="AE75" s="405" t="str">
        <f t="shared" si="12"/>
        <v/>
      </c>
      <c r="AF75" s="407"/>
      <c r="AG75" s="405" t="str">
        <f t="shared" si="13"/>
        <v/>
      </c>
      <c r="AH75" s="407"/>
      <c r="AI75" s="405" t="str">
        <f t="shared" si="14"/>
        <v/>
      </c>
      <c r="AJ75" s="407">
        <v>9613</v>
      </c>
      <c r="AK75" s="405">
        <f t="shared" si="15"/>
        <v>769.65572457966368</v>
      </c>
      <c r="AL75" s="407"/>
      <c r="AM75" s="405" t="str">
        <f t="shared" si="16"/>
        <v/>
      </c>
      <c r="AN75" s="407"/>
      <c r="AO75" s="405" t="str">
        <f t="shared" si="17"/>
        <v/>
      </c>
      <c r="AP75" s="407">
        <v>9983</v>
      </c>
      <c r="AQ75" s="405">
        <f t="shared" si="18"/>
        <v>799.279423538831</v>
      </c>
    </row>
    <row r="76" spans="1:43" x14ac:dyDescent="0.35">
      <c r="A76" s="396"/>
      <c r="B76">
        <v>2.21</v>
      </c>
      <c r="D76" s="407">
        <v>3607</v>
      </c>
      <c r="E76" s="405">
        <f t="shared" si="21"/>
        <v>1632.1266968325792</v>
      </c>
      <c r="F76" s="407"/>
      <c r="G76" s="405" t="str">
        <f t="shared" si="21"/>
        <v/>
      </c>
      <c r="H76" s="407"/>
      <c r="I76" s="405" t="str">
        <f t="shared" si="1"/>
        <v/>
      </c>
      <c r="J76" s="407"/>
      <c r="K76" s="405" t="str">
        <f t="shared" si="2"/>
        <v/>
      </c>
      <c r="L76" s="407"/>
      <c r="M76" s="405" t="str">
        <f t="shared" si="3"/>
        <v/>
      </c>
      <c r="N76" s="407"/>
      <c r="O76" s="405" t="str">
        <f t="shared" si="4"/>
        <v/>
      </c>
      <c r="P76" s="407"/>
      <c r="Q76" s="405" t="str">
        <f t="shared" si="5"/>
        <v/>
      </c>
      <c r="R76" s="407"/>
      <c r="S76" s="405" t="str">
        <f t="shared" si="6"/>
        <v/>
      </c>
      <c r="T76" s="407"/>
      <c r="U76" s="405" t="str">
        <f t="shared" si="7"/>
        <v/>
      </c>
      <c r="V76" s="407"/>
      <c r="W76" s="405" t="str">
        <f t="shared" si="8"/>
        <v/>
      </c>
      <c r="X76" s="407"/>
      <c r="Y76" s="405" t="str">
        <f t="shared" si="9"/>
        <v/>
      </c>
      <c r="Z76" s="407"/>
      <c r="AA76" s="405" t="str">
        <f t="shared" si="10"/>
        <v/>
      </c>
      <c r="AB76" s="407"/>
      <c r="AC76" s="405" t="str">
        <f t="shared" si="11"/>
        <v/>
      </c>
      <c r="AD76" s="407"/>
      <c r="AE76" s="405" t="str">
        <f t="shared" si="12"/>
        <v/>
      </c>
      <c r="AF76" s="407"/>
      <c r="AG76" s="405" t="str">
        <f t="shared" si="13"/>
        <v/>
      </c>
      <c r="AH76" s="407"/>
      <c r="AI76" s="405" t="str">
        <f t="shared" si="14"/>
        <v/>
      </c>
      <c r="AJ76" s="407">
        <v>516</v>
      </c>
      <c r="AK76" s="405">
        <f t="shared" si="15"/>
        <v>233.4841628959276</v>
      </c>
      <c r="AL76" s="407"/>
      <c r="AM76" s="405" t="str">
        <f t="shared" si="16"/>
        <v/>
      </c>
      <c r="AN76" s="407"/>
      <c r="AO76" s="405" t="str">
        <f t="shared" si="17"/>
        <v/>
      </c>
      <c r="AP76" s="407">
        <v>516</v>
      </c>
      <c r="AQ76" s="405">
        <f t="shared" si="18"/>
        <v>233.4841628959276</v>
      </c>
    </row>
    <row r="77" spans="1:43" x14ac:dyDescent="0.35">
      <c r="A77" s="396"/>
      <c r="B77">
        <v>18.579999999999998</v>
      </c>
      <c r="D77" s="407">
        <v>97440</v>
      </c>
      <c r="E77" s="405">
        <f t="shared" ref="E77:G82" si="22">IF(OR($B77=0,D77=0),"",D77/$B77)</f>
        <v>5244.3487621097956</v>
      </c>
      <c r="F77" s="407">
        <v>132299</v>
      </c>
      <c r="G77" s="405">
        <f t="shared" si="22"/>
        <v>7120.5059203444571</v>
      </c>
      <c r="H77" s="407"/>
      <c r="I77" s="405" t="str">
        <f t="shared" ref="I77:I82" si="23">IF(OR($B77=0,H77=0),"",H77/$B77)</f>
        <v/>
      </c>
      <c r="J77" s="407"/>
      <c r="K77" s="405" t="str">
        <f t="shared" ref="K77:K82" si="24">IF(OR($B77=0,J77=0),"",J77/$B77)</f>
        <v/>
      </c>
      <c r="L77" s="407"/>
      <c r="M77" s="405" t="str">
        <f t="shared" ref="M77:M82" si="25">IF(OR($B77=0,L77=0),"",L77/$B77)</f>
        <v/>
      </c>
      <c r="N77" s="407">
        <v>2034</v>
      </c>
      <c r="O77" s="405">
        <f t="shared" ref="O77:O82" si="26">IF(OR($B77=0,N77=0),"",N77/$B77)</f>
        <v>109.4725511302476</v>
      </c>
      <c r="P77" s="407"/>
      <c r="Q77" s="405" t="str">
        <f t="shared" ref="Q77:Q82" si="27">IF(OR($B77=0,P77=0),"",P77/$B77)</f>
        <v/>
      </c>
      <c r="R77" s="407">
        <v>359</v>
      </c>
      <c r="S77" s="405">
        <f t="shared" ref="S77:S82" si="28">IF(OR($B77=0,R77=0),"",R77/$B77)</f>
        <v>19.321851453175459</v>
      </c>
      <c r="T77" s="407">
        <v>227</v>
      </c>
      <c r="U77" s="405">
        <f t="shared" ref="U77:U82" si="29">IF(OR($B77=0,T77=0),"",T77/$B77)</f>
        <v>12.217438105489775</v>
      </c>
      <c r="V77" s="407"/>
      <c r="W77" s="405" t="str">
        <f t="shared" ref="W77:W82" si="30">IF(OR($B77=0,V77=0),"",V77/$B77)</f>
        <v/>
      </c>
      <c r="X77" s="407"/>
      <c r="Y77" s="405" t="str">
        <f t="shared" ref="Y77:Y82" si="31">IF(OR($B77=0,X77=0),"",X77/$B77)</f>
        <v/>
      </c>
      <c r="Z77" s="407">
        <v>60</v>
      </c>
      <c r="AA77" s="405">
        <f t="shared" ref="AA77:AA82" si="32">IF(OR($B77=0,Z77=0),"",Z77/$B77)</f>
        <v>3.2292787944025836</v>
      </c>
      <c r="AB77" s="407"/>
      <c r="AC77" s="405" t="str">
        <f t="shared" ref="AC77:AC82" si="33">IF(OR($B77=0,AB77=0),"",AB77/$B77)</f>
        <v/>
      </c>
      <c r="AD77" s="407"/>
      <c r="AE77" s="405" t="str">
        <f t="shared" ref="AE77:AE82" si="34">IF(OR($B77=0,AD77=0),"",AD77/$B77)</f>
        <v/>
      </c>
      <c r="AF77" s="407"/>
      <c r="AG77" s="405" t="str">
        <f t="shared" ref="AG77:AG82" si="35">IF(OR($B77=0,AF77=0),"",AF77/$B77)</f>
        <v/>
      </c>
      <c r="AH77" s="407"/>
      <c r="AI77" s="405" t="str">
        <f t="shared" ref="AI77:AI82" si="36">IF(OR($B77=0,AH77=0),"",AH77/$B77)</f>
        <v/>
      </c>
      <c r="AJ77" s="407">
        <v>9499</v>
      </c>
      <c r="AK77" s="405">
        <f t="shared" ref="AK77:AK82" si="37">IF(OR($B77=0,AJ77=0),"",AJ77/$B77)</f>
        <v>511.24865446716905</v>
      </c>
      <c r="AL77" s="407"/>
      <c r="AM77" s="405" t="str">
        <f t="shared" ref="AM77:AM82" si="38">IF(OR($B77=0,AL77=0),"",AL77/$B77)</f>
        <v/>
      </c>
      <c r="AN77" s="407"/>
      <c r="AO77" s="405" t="str">
        <f t="shared" ref="AO77:AO82" si="39">IF(OR($B77=0,AN77=0),"",AN77/$B77)</f>
        <v/>
      </c>
      <c r="AP77" s="407">
        <v>144478</v>
      </c>
      <c r="AQ77" s="405">
        <f t="shared" ref="AQ77:AQ82" si="40">IF(OR($B77=0,AP77=0),"",AP77/$B77)</f>
        <v>7775.9956942949411</v>
      </c>
    </row>
    <row r="78" spans="1:43" x14ac:dyDescent="0.35">
      <c r="A78" s="396"/>
      <c r="B78">
        <v>0.42</v>
      </c>
      <c r="D78" s="407">
        <v>2922</v>
      </c>
      <c r="E78" s="405">
        <f t="shared" si="22"/>
        <v>6957.1428571428578</v>
      </c>
      <c r="F78" s="407"/>
      <c r="G78" s="405" t="str">
        <f t="shared" si="22"/>
        <v/>
      </c>
      <c r="H78" s="407"/>
      <c r="I78" s="405" t="str">
        <f t="shared" si="23"/>
        <v/>
      </c>
      <c r="J78" s="407"/>
      <c r="K78" s="405" t="str">
        <f t="shared" si="24"/>
        <v/>
      </c>
      <c r="L78" s="407"/>
      <c r="M78" s="405" t="str">
        <f t="shared" si="25"/>
        <v/>
      </c>
      <c r="N78" s="407"/>
      <c r="O78" s="405" t="str">
        <f t="shared" si="26"/>
        <v/>
      </c>
      <c r="P78" s="407"/>
      <c r="Q78" s="405" t="str">
        <f t="shared" si="27"/>
        <v/>
      </c>
      <c r="R78" s="407"/>
      <c r="S78" s="405" t="str">
        <f t="shared" si="28"/>
        <v/>
      </c>
      <c r="T78" s="407"/>
      <c r="U78" s="405" t="str">
        <f t="shared" si="29"/>
        <v/>
      </c>
      <c r="V78" s="407"/>
      <c r="W78" s="405" t="str">
        <f t="shared" si="30"/>
        <v/>
      </c>
      <c r="X78" s="407"/>
      <c r="Y78" s="405" t="str">
        <f t="shared" si="31"/>
        <v/>
      </c>
      <c r="Z78" s="407"/>
      <c r="AA78" s="405" t="str">
        <f t="shared" si="32"/>
        <v/>
      </c>
      <c r="AB78" s="407"/>
      <c r="AC78" s="405" t="str">
        <f t="shared" si="33"/>
        <v/>
      </c>
      <c r="AD78" s="407"/>
      <c r="AE78" s="405" t="str">
        <f t="shared" si="34"/>
        <v/>
      </c>
      <c r="AF78" s="407"/>
      <c r="AG78" s="405" t="str">
        <f t="shared" si="35"/>
        <v/>
      </c>
      <c r="AH78" s="407"/>
      <c r="AI78" s="405" t="str">
        <f t="shared" si="36"/>
        <v/>
      </c>
      <c r="AJ78" s="407"/>
      <c r="AK78" s="405" t="str">
        <f t="shared" si="37"/>
        <v/>
      </c>
      <c r="AL78" s="407"/>
      <c r="AM78" s="405" t="str">
        <f t="shared" si="38"/>
        <v/>
      </c>
      <c r="AN78" s="407"/>
      <c r="AO78" s="405" t="str">
        <f t="shared" si="39"/>
        <v/>
      </c>
      <c r="AP78" s="407"/>
      <c r="AQ78" s="405" t="str">
        <f t="shared" si="40"/>
        <v/>
      </c>
    </row>
    <row r="79" spans="1:43" x14ac:dyDescent="0.35">
      <c r="A79" s="394" t="s">
        <v>494</v>
      </c>
      <c r="B79" s="395">
        <v>16.190000000000001</v>
      </c>
      <c r="D79" s="404">
        <v>116978</v>
      </c>
      <c r="E79" s="405">
        <f t="shared" si="22"/>
        <v>7225.3242742433595</v>
      </c>
      <c r="F79" s="404">
        <v>15070</v>
      </c>
      <c r="G79" s="405">
        <f t="shared" si="22"/>
        <v>930.82149474984556</v>
      </c>
      <c r="H79" s="404"/>
      <c r="I79" s="405" t="str">
        <f t="shared" si="23"/>
        <v/>
      </c>
      <c r="J79" s="404"/>
      <c r="K79" s="405" t="str">
        <f t="shared" si="24"/>
        <v/>
      </c>
      <c r="L79" s="404"/>
      <c r="M79" s="405" t="str">
        <f t="shared" si="25"/>
        <v/>
      </c>
      <c r="N79" s="404">
        <v>1106</v>
      </c>
      <c r="O79" s="405">
        <f t="shared" si="26"/>
        <v>68.313773934527475</v>
      </c>
      <c r="P79" s="404">
        <v>2170</v>
      </c>
      <c r="Q79" s="405">
        <f t="shared" si="27"/>
        <v>134.03335392217417</v>
      </c>
      <c r="R79" s="404"/>
      <c r="S79" s="405" t="str">
        <f t="shared" si="28"/>
        <v/>
      </c>
      <c r="T79" s="404"/>
      <c r="U79" s="405" t="str">
        <f t="shared" si="29"/>
        <v/>
      </c>
      <c r="V79" s="404">
        <v>6207</v>
      </c>
      <c r="W79" s="405">
        <f t="shared" si="30"/>
        <v>383.38480543545393</v>
      </c>
      <c r="X79" s="404">
        <v>1953</v>
      </c>
      <c r="Y79" s="405">
        <f t="shared" si="31"/>
        <v>120.63001852995676</v>
      </c>
      <c r="Z79" s="404"/>
      <c r="AA79" s="405" t="str">
        <f t="shared" si="32"/>
        <v/>
      </c>
      <c r="AB79" s="404"/>
      <c r="AC79" s="405" t="str">
        <f t="shared" si="33"/>
        <v/>
      </c>
      <c r="AD79" s="404"/>
      <c r="AE79" s="405" t="str">
        <f t="shared" si="34"/>
        <v/>
      </c>
      <c r="AF79" s="404"/>
      <c r="AG79" s="405" t="str">
        <f t="shared" si="35"/>
        <v/>
      </c>
      <c r="AH79" s="404"/>
      <c r="AI79" s="405" t="str">
        <f t="shared" si="36"/>
        <v/>
      </c>
      <c r="AJ79" s="404">
        <v>7759</v>
      </c>
      <c r="AK79" s="405">
        <f t="shared" si="37"/>
        <v>479.24644842495366</v>
      </c>
      <c r="AL79" s="404"/>
      <c r="AM79" s="405" t="str">
        <f t="shared" si="38"/>
        <v/>
      </c>
      <c r="AN79" s="404"/>
      <c r="AO79" s="405" t="str">
        <f t="shared" si="39"/>
        <v/>
      </c>
      <c r="AP79" s="404">
        <v>34265</v>
      </c>
      <c r="AQ79" s="405">
        <f t="shared" si="40"/>
        <v>2116.4298949969116</v>
      </c>
    </row>
    <row r="80" spans="1:43" x14ac:dyDescent="0.35">
      <c r="A80" s="394" t="s">
        <v>435</v>
      </c>
      <c r="B80" s="395">
        <v>12.764699999999999</v>
      </c>
      <c r="D80" s="404">
        <v>52603</v>
      </c>
      <c r="E80" s="405">
        <f t="shared" si="22"/>
        <v>4120.974249296889</v>
      </c>
      <c r="F80" s="404">
        <v>228443</v>
      </c>
      <c r="G80" s="405">
        <f t="shared" si="22"/>
        <v>17896.464468416805</v>
      </c>
      <c r="H80" s="404">
        <v>1569</v>
      </c>
      <c r="I80" s="405">
        <f t="shared" si="23"/>
        <v>122.91710733507252</v>
      </c>
      <c r="J80" s="404"/>
      <c r="K80" s="405" t="str">
        <f t="shared" si="24"/>
        <v/>
      </c>
      <c r="L80" s="404"/>
      <c r="M80" s="405" t="str">
        <f t="shared" si="25"/>
        <v/>
      </c>
      <c r="N80" s="404"/>
      <c r="O80" s="405" t="str">
        <f t="shared" si="26"/>
        <v/>
      </c>
      <c r="P80" s="404">
        <v>1520</v>
      </c>
      <c r="Q80" s="405">
        <f t="shared" si="27"/>
        <v>119.0783958886617</v>
      </c>
      <c r="R80" s="404">
        <v>1032</v>
      </c>
      <c r="S80" s="405">
        <f t="shared" si="28"/>
        <v>80.847963524407163</v>
      </c>
      <c r="T80" s="404"/>
      <c r="U80" s="405" t="str">
        <f t="shared" si="29"/>
        <v/>
      </c>
      <c r="V80" s="404"/>
      <c r="W80" s="405" t="str">
        <f t="shared" si="30"/>
        <v/>
      </c>
      <c r="X80" s="404"/>
      <c r="Y80" s="405" t="str">
        <f t="shared" si="31"/>
        <v/>
      </c>
      <c r="Z80" s="404">
        <v>10354</v>
      </c>
      <c r="AA80" s="405">
        <f t="shared" si="32"/>
        <v>811.14323094158112</v>
      </c>
      <c r="AB80" s="404"/>
      <c r="AC80" s="405" t="str">
        <f t="shared" si="33"/>
        <v/>
      </c>
      <c r="AD80" s="404"/>
      <c r="AE80" s="405" t="str">
        <f t="shared" si="34"/>
        <v/>
      </c>
      <c r="AF80" s="404"/>
      <c r="AG80" s="405" t="str">
        <f t="shared" si="35"/>
        <v/>
      </c>
      <c r="AH80" s="404"/>
      <c r="AI80" s="405" t="str">
        <f t="shared" si="36"/>
        <v/>
      </c>
      <c r="AJ80" s="404">
        <v>1706</v>
      </c>
      <c r="AK80" s="405">
        <f t="shared" si="37"/>
        <v>133.64983117503741</v>
      </c>
      <c r="AL80" s="404"/>
      <c r="AM80" s="405" t="str">
        <f t="shared" si="38"/>
        <v/>
      </c>
      <c r="AN80" s="404"/>
      <c r="AO80" s="405" t="str">
        <f t="shared" si="39"/>
        <v/>
      </c>
      <c r="AP80" s="404">
        <v>244624</v>
      </c>
      <c r="AQ80" s="405">
        <f t="shared" si="40"/>
        <v>19164.100997281566</v>
      </c>
    </row>
    <row r="81" spans="1:43" x14ac:dyDescent="0.35">
      <c r="A81" s="396"/>
      <c r="B81">
        <v>1.8692</v>
      </c>
      <c r="D81" s="407">
        <v>2922</v>
      </c>
      <c r="E81" s="405">
        <f t="shared" si="22"/>
        <v>1563.2356088166061</v>
      </c>
      <c r="F81" s="407"/>
      <c r="G81" s="405" t="str">
        <f t="shared" si="22"/>
        <v/>
      </c>
      <c r="H81" s="407"/>
      <c r="I81" s="405" t="str">
        <f t="shared" si="23"/>
        <v/>
      </c>
      <c r="J81" s="407"/>
      <c r="K81" s="405" t="str">
        <f t="shared" si="24"/>
        <v/>
      </c>
      <c r="L81" s="407"/>
      <c r="M81" s="405" t="str">
        <f t="shared" si="25"/>
        <v/>
      </c>
      <c r="N81" s="407"/>
      <c r="O81" s="405" t="str">
        <f t="shared" si="26"/>
        <v/>
      </c>
      <c r="P81" s="407">
        <v>28</v>
      </c>
      <c r="Q81" s="405">
        <f t="shared" si="27"/>
        <v>14.979670447250161</v>
      </c>
      <c r="R81" s="407">
        <v>72</v>
      </c>
      <c r="S81" s="405">
        <f t="shared" si="28"/>
        <v>38.519152578643272</v>
      </c>
      <c r="T81" s="407"/>
      <c r="U81" s="405" t="str">
        <f t="shared" si="29"/>
        <v/>
      </c>
      <c r="V81" s="407"/>
      <c r="W81" s="405" t="str">
        <f t="shared" si="30"/>
        <v/>
      </c>
      <c r="X81" s="407"/>
      <c r="Y81" s="405" t="str">
        <f t="shared" si="31"/>
        <v/>
      </c>
      <c r="Z81" s="407"/>
      <c r="AA81" s="405" t="str">
        <f t="shared" si="32"/>
        <v/>
      </c>
      <c r="AB81" s="407"/>
      <c r="AC81" s="405" t="str">
        <f t="shared" si="33"/>
        <v/>
      </c>
      <c r="AD81" s="407"/>
      <c r="AE81" s="405" t="str">
        <f t="shared" si="34"/>
        <v/>
      </c>
      <c r="AF81" s="407"/>
      <c r="AG81" s="405" t="str">
        <f t="shared" si="35"/>
        <v/>
      </c>
      <c r="AH81" s="407"/>
      <c r="AI81" s="405" t="str">
        <f t="shared" si="36"/>
        <v/>
      </c>
      <c r="AJ81" s="407">
        <v>198</v>
      </c>
      <c r="AK81" s="405">
        <f t="shared" si="37"/>
        <v>105.92766959126899</v>
      </c>
      <c r="AL81" s="407"/>
      <c r="AM81" s="405" t="str">
        <f t="shared" si="38"/>
        <v/>
      </c>
      <c r="AN81" s="407"/>
      <c r="AO81" s="405" t="str">
        <f t="shared" si="39"/>
        <v/>
      </c>
      <c r="AP81" s="407">
        <v>298</v>
      </c>
      <c r="AQ81" s="405">
        <f t="shared" si="40"/>
        <v>159.42649261716244</v>
      </c>
    </row>
    <row r="82" spans="1:43" x14ac:dyDescent="0.35">
      <c r="A82" s="396"/>
      <c r="B82">
        <v>10.0589</v>
      </c>
      <c r="D82" s="407">
        <v>47562</v>
      </c>
      <c r="E82" s="405">
        <f t="shared" si="22"/>
        <v>4728.3500183916731</v>
      </c>
      <c r="F82" s="407"/>
      <c r="G82" s="405" t="str">
        <f t="shared" si="22"/>
        <v/>
      </c>
      <c r="H82" s="407"/>
      <c r="I82" s="405" t="str">
        <f t="shared" si="23"/>
        <v/>
      </c>
      <c r="J82" s="407"/>
      <c r="K82" s="405" t="str">
        <f t="shared" si="24"/>
        <v/>
      </c>
      <c r="L82" s="407"/>
      <c r="M82" s="405" t="str">
        <f t="shared" si="25"/>
        <v/>
      </c>
      <c r="N82" s="407">
        <v>230</v>
      </c>
      <c r="O82" s="405">
        <f t="shared" si="26"/>
        <v>22.865323246080585</v>
      </c>
      <c r="P82" s="407">
        <v>3292</v>
      </c>
      <c r="Q82" s="405">
        <f t="shared" si="27"/>
        <v>327.27236576564042</v>
      </c>
      <c r="R82" s="407">
        <v>2026</v>
      </c>
      <c r="S82" s="405">
        <f t="shared" si="28"/>
        <v>201.41367346330117</v>
      </c>
      <c r="T82" s="407"/>
      <c r="U82" s="405" t="str">
        <f t="shared" si="29"/>
        <v/>
      </c>
      <c r="V82" s="407"/>
      <c r="W82" s="405" t="str">
        <f t="shared" si="30"/>
        <v/>
      </c>
      <c r="X82" s="407"/>
      <c r="Y82" s="405" t="str">
        <f t="shared" si="31"/>
        <v/>
      </c>
      <c r="Z82" s="407"/>
      <c r="AA82" s="405" t="str">
        <f t="shared" si="32"/>
        <v/>
      </c>
      <c r="AB82" s="407"/>
      <c r="AC82" s="405" t="str">
        <f t="shared" si="33"/>
        <v/>
      </c>
      <c r="AD82" s="407">
        <v>2292</v>
      </c>
      <c r="AE82" s="405">
        <f t="shared" si="34"/>
        <v>227.85791686963785</v>
      </c>
      <c r="AF82" s="407"/>
      <c r="AG82" s="405" t="str">
        <f t="shared" si="35"/>
        <v/>
      </c>
      <c r="AH82" s="407"/>
      <c r="AI82" s="405" t="str">
        <f t="shared" si="36"/>
        <v/>
      </c>
      <c r="AJ82" s="407">
        <v>4190</v>
      </c>
      <c r="AK82" s="405">
        <f t="shared" si="37"/>
        <v>416.5465408742507</v>
      </c>
      <c r="AL82" s="407"/>
      <c r="AM82" s="405" t="str">
        <f t="shared" si="38"/>
        <v/>
      </c>
      <c r="AN82" s="407"/>
      <c r="AO82" s="405" t="str">
        <f t="shared" si="39"/>
        <v/>
      </c>
      <c r="AP82" s="407">
        <v>12030</v>
      </c>
      <c r="AQ82" s="405">
        <f t="shared" si="40"/>
        <v>1195.9558202189107</v>
      </c>
    </row>
  </sheetData>
  <mergeCells count="1">
    <mergeCell ref="A3:A6"/>
  </mergeCells>
  <conditionalFormatting sqref="E12:E82">
    <cfRule type="expression" dxfId="4" priority="2">
      <formula>AND(LEN(E12)&gt;0,OR(E12&lt;E$2,E12&gt;E$3))</formula>
    </cfRule>
  </conditionalFormatting>
  <conditionalFormatting sqref="G12:G82 I12:I82 K12:K82 M12:M82 O12:O82 Q12:Q82 S12:S82 U12:U82 W12:W82 Y12:Y82 AA12:AA82 AC12:AC82 AE12:AE82 AG12:AG82 AI12:AI82 AK12:AK82 AM12:AM82 AO12:AO82 AQ12:AQ82">
    <cfRule type="expression" dxfId="3" priority="1">
      <formula>AND(LEN(G12)&gt;0,OR(G12&lt;G$2,G12&gt;G$3))</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8B60-7823-43FF-B41C-6BDAB976B67C}">
  <dimension ref="A1:I300"/>
  <sheetViews>
    <sheetView workbookViewId="0">
      <selection activeCell="CN55" sqref="CN55"/>
    </sheetView>
  </sheetViews>
  <sheetFormatPr defaultColWidth="8.81640625" defaultRowHeight="14.5" x14ac:dyDescent="0.35"/>
  <cols>
    <col min="1" max="1" width="26.26953125" customWidth="1"/>
    <col min="4" max="4" width="13.453125" bestFit="1" customWidth="1"/>
    <col min="5" max="5" width="12.26953125" bestFit="1" customWidth="1"/>
    <col min="6" max="9" width="18.7265625" customWidth="1"/>
  </cols>
  <sheetData>
    <row r="1" spans="1:9" x14ac:dyDescent="0.35">
      <c r="A1" s="390">
        <v>67</v>
      </c>
      <c r="C1" s="391" t="s">
        <v>411</v>
      </c>
      <c r="E1" s="397">
        <v>27558.536103016606</v>
      </c>
      <c r="G1" s="397">
        <v>306.8944899263696</v>
      </c>
      <c r="I1" s="397">
        <v>242.78936870681545</v>
      </c>
    </row>
    <row r="2" spans="1:9" x14ac:dyDescent="0.35">
      <c r="C2" s="391" t="s">
        <v>412</v>
      </c>
      <c r="E2" s="397">
        <v>3262.6904349311444</v>
      </c>
      <c r="G2" s="397">
        <v>-109.48128828195462</v>
      </c>
      <c r="I2" s="397">
        <v>-483.67030519362731</v>
      </c>
    </row>
    <row r="3" spans="1:9" x14ac:dyDescent="0.35">
      <c r="A3" s="948" t="s">
        <v>513</v>
      </c>
      <c r="C3" s="391" t="s">
        <v>414</v>
      </c>
      <c r="E3" s="397">
        <v>51854.381771102067</v>
      </c>
      <c r="G3" s="397">
        <v>723.27026813469388</v>
      </c>
      <c r="I3" s="397">
        <v>969.24904260725827</v>
      </c>
    </row>
    <row r="4" spans="1:9" x14ac:dyDescent="0.35">
      <c r="A4" s="948"/>
      <c r="C4" s="391" t="s">
        <v>415</v>
      </c>
      <c r="E4" s="398">
        <v>27558.536103016606</v>
      </c>
      <c r="G4" s="398">
        <v>306.8944899263696</v>
      </c>
      <c r="I4" s="398">
        <v>85.490532491468613</v>
      </c>
    </row>
    <row r="5" spans="1:9" x14ac:dyDescent="0.35">
      <c r="A5" s="948"/>
      <c r="C5" s="391" t="s">
        <v>416</v>
      </c>
      <c r="E5" s="408">
        <v>25206.131627056668</v>
      </c>
      <c r="G5" s="408">
        <v>315.14153944020347</v>
      </c>
      <c r="I5" s="408">
        <v>95.157964309319226</v>
      </c>
    </row>
    <row r="6" spans="1:9" x14ac:dyDescent="0.35">
      <c r="A6" s="948"/>
      <c r="C6" s="391" t="s">
        <v>417</v>
      </c>
      <c r="E6" s="400">
        <v>27558.536103016606</v>
      </c>
      <c r="G6" s="400">
        <v>251.09549175793879</v>
      </c>
      <c r="I6" s="400">
        <v>42.745266245734307</v>
      </c>
    </row>
    <row r="9" spans="1:9" x14ac:dyDescent="0.35">
      <c r="D9" s="394" t="s">
        <v>436</v>
      </c>
      <c r="E9" s="401"/>
      <c r="F9" s="394" t="s">
        <v>441</v>
      </c>
      <c r="G9" s="401"/>
      <c r="H9" s="394" t="s">
        <v>454</v>
      </c>
      <c r="I9" s="401"/>
    </row>
    <row r="10" spans="1:9" ht="43.5" x14ac:dyDescent="0.35">
      <c r="A10" s="392"/>
      <c r="B10" s="393"/>
      <c r="D10" s="402" t="s">
        <v>456</v>
      </c>
      <c r="E10" s="403" t="s">
        <v>523</v>
      </c>
      <c r="F10" s="402" t="s">
        <v>461</v>
      </c>
      <c r="G10" s="403" t="s">
        <v>525</v>
      </c>
      <c r="H10" s="402" t="s">
        <v>474</v>
      </c>
      <c r="I10" s="403" t="s">
        <v>526</v>
      </c>
    </row>
    <row r="11" spans="1:9" x14ac:dyDescent="0.35">
      <c r="A11" s="394" t="s">
        <v>418</v>
      </c>
      <c r="B11" s="395" t="s">
        <v>419</v>
      </c>
      <c r="D11" s="394" t="s">
        <v>476</v>
      </c>
      <c r="E11" s="401"/>
      <c r="F11" s="394" t="s">
        <v>476</v>
      </c>
      <c r="G11" s="401"/>
      <c r="H11" s="394" t="s">
        <v>476</v>
      </c>
      <c r="I11" s="401"/>
    </row>
    <row r="12" spans="1:9" x14ac:dyDescent="0.35">
      <c r="A12" s="394" t="s">
        <v>421</v>
      </c>
      <c r="B12" s="395">
        <v>4.43</v>
      </c>
      <c r="D12" s="404">
        <v>134975</v>
      </c>
      <c r="E12" s="405">
        <v>30468.39729119639</v>
      </c>
      <c r="F12" s="404">
        <v>1750</v>
      </c>
      <c r="G12" s="405">
        <v>395.03386004514675</v>
      </c>
      <c r="H12" s="404"/>
      <c r="I12" s="405" t="s">
        <v>524</v>
      </c>
    </row>
    <row r="13" spans="1:9" x14ac:dyDescent="0.35">
      <c r="A13" s="515"/>
      <c r="B13">
        <v>4.1900000000000004</v>
      </c>
      <c r="D13" s="404">
        <v>51038</v>
      </c>
      <c r="E13" s="405">
        <v>12180.906921241049</v>
      </c>
      <c r="F13" s="407">
        <v>1618</v>
      </c>
      <c r="G13" s="405">
        <v>386.15751789976127</v>
      </c>
      <c r="H13" s="404"/>
      <c r="I13" s="405" t="s">
        <v>524</v>
      </c>
    </row>
    <row r="14" spans="1:9" x14ac:dyDescent="0.35">
      <c r="A14" s="394" t="s">
        <v>491</v>
      </c>
      <c r="B14" s="395">
        <v>3.12</v>
      </c>
      <c r="D14" s="404">
        <v>153746</v>
      </c>
      <c r="E14" s="405">
        <v>49277.564102564102</v>
      </c>
      <c r="F14" s="404"/>
      <c r="G14" s="405" t="s">
        <v>524</v>
      </c>
      <c r="H14" s="404">
        <v>375</v>
      </c>
      <c r="I14" s="405">
        <v>120.19230769230769</v>
      </c>
    </row>
    <row r="15" spans="1:9" x14ac:dyDescent="0.35">
      <c r="A15" s="515"/>
      <c r="B15">
        <v>3.73</v>
      </c>
      <c r="D15" s="407">
        <v>106982</v>
      </c>
      <c r="E15" s="405">
        <v>28681.501340482573</v>
      </c>
      <c r="F15" s="407"/>
      <c r="G15" s="405" t="s">
        <v>524</v>
      </c>
      <c r="H15" s="407"/>
      <c r="I15" s="405" t="s">
        <v>524</v>
      </c>
    </row>
    <row r="16" spans="1:9" x14ac:dyDescent="0.35">
      <c r="A16" s="394" t="s">
        <v>514</v>
      </c>
      <c r="B16" s="395">
        <v>2.23</v>
      </c>
      <c r="D16" s="404">
        <v>53514</v>
      </c>
      <c r="E16" s="405">
        <v>23997.30941704036</v>
      </c>
      <c r="F16" s="404">
        <v>1225</v>
      </c>
      <c r="G16" s="405">
        <v>549.32735426008969</v>
      </c>
      <c r="H16" s="404"/>
      <c r="I16" s="405" t="s">
        <v>524</v>
      </c>
    </row>
    <row r="17" spans="1:9" x14ac:dyDescent="0.35">
      <c r="A17" s="394" t="s">
        <v>433</v>
      </c>
      <c r="B17" s="395">
        <v>4.62</v>
      </c>
      <c r="D17" s="407">
        <v>79115</v>
      </c>
      <c r="E17" s="405">
        <v>17124.458874458873</v>
      </c>
      <c r="F17" s="404">
        <v>568.08000000000004</v>
      </c>
      <c r="G17" s="405">
        <v>122.96103896103897</v>
      </c>
      <c r="H17" s="407">
        <v>4755.29</v>
      </c>
      <c r="I17" s="405">
        <v>1029.2835497835497</v>
      </c>
    </row>
    <row r="18" spans="1:9" x14ac:dyDescent="0.35">
      <c r="A18" s="515"/>
      <c r="B18">
        <v>4</v>
      </c>
      <c r="D18" s="407">
        <v>79135.100000000006</v>
      </c>
      <c r="E18" s="405">
        <v>19783.775000000001</v>
      </c>
      <c r="F18" s="407">
        <v>27.82</v>
      </c>
      <c r="G18" s="405">
        <v>6.9550000000000001</v>
      </c>
      <c r="H18" s="407">
        <v>3.81</v>
      </c>
      <c r="I18" s="405">
        <v>0.95250000000000001</v>
      </c>
    </row>
    <row r="19" spans="1:9" x14ac:dyDescent="0.35">
      <c r="A19" s="515"/>
      <c r="B19">
        <v>3.48</v>
      </c>
      <c r="D19" s="407">
        <v>83046.86</v>
      </c>
      <c r="E19" s="405">
        <v>23864.040229885057</v>
      </c>
      <c r="F19" s="407">
        <v>720.43</v>
      </c>
      <c r="G19" s="405">
        <v>207.02011494252872</v>
      </c>
      <c r="H19" s="407">
        <v>919.62</v>
      </c>
      <c r="I19" s="405">
        <v>264.25862068965517</v>
      </c>
    </row>
    <row r="20" spans="1:9" x14ac:dyDescent="0.35">
      <c r="A20" s="515"/>
      <c r="B20">
        <v>1.04</v>
      </c>
      <c r="D20" s="407">
        <v>53001.82</v>
      </c>
      <c r="E20" s="405">
        <v>50963.288461538461</v>
      </c>
      <c r="F20" s="407">
        <v>26.72</v>
      </c>
      <c r="G20" s="405">
        <v>25.69230769230769</v>
      </c>
      <c r="H20" s="407">
        <v>2.31</v>
      </c>
      <c r="I20" s="405">
        <v>2.2211538461538463</v>
      </c>
    </row>
    <row r="21" spans="1:9" x14ac:dyDescent="0.35">
      <c r="A21" s="394" t="s">
        <v>515</v>
      </c>
      <c r="B21" s="395">
        <v>3.96</v>
      </c>
      <c r="D21" s="404">
        <v>61066</v>
      </c>
      <c r="E21" s="405">
        <v>15420.707070707071</v>
      </c>
      <c r="F21" s="404">
        <v>2035</v>
      </c>
      <c r="G21" s="405">
        <v>513.88888888888891</v>
      </c>
      <c r="H21" s="404"/>
      <c r="I21" s="405" t="s">
        <v>524</v>
      </c>
    </row>
    <row r="22" spans="1:9" x14ac:dyDescent="0.35">
      <c r="A22" s="515"/>
      <c r="B22">
        <v>3.49</v>
      </c>
      <c r="D22" s="404">
        <v>109523</v>
      </c>
      <c r="E22" s="405">
        <v>31381.948424068767</v>
      </c>
      <c r="F22" s="407">
        <v>1937</v>
      </c>
      <c r="G22" s="405">
        <v>555.01432664756442</v>
      </c>
      <c r="H22" s="404">
        <v>139</v>
      </c>
      <c r="I22" s="405">
        <v>39.828080229226359</v>
      </c>
    </row>
    <row r="23" spans="1:9" x14ac:dyDescent="0.35">
      <c r="A23" s="515"/>
      <c r="D23" s="407"/>
      <c r="E23" s="405" t="s">
        <v>524</v>
      </c>
      <c r="G23" s="405" t="s">
        <v>524</v>
      </c>
      <c r="H23" s="407"/>
      <c r="I23" s="405" t="s">
        <v>524</v>
      </c>
    </row>
    <row r="24" spans="1:9" x14ac:dyDescent="0.35">
      <c r="A24" s="394"/>
      <c r="B24" s="395"/>
      <c r="D24" s="404"/>
      <c r="E24" s="405" t="s">
        <v>524</v>
      </c>
      <c r="G24" s="405" t="s">
        <v>524</v>
      </c>
      <c r="H24" s="404"/>
      <c r="I24" s="405" t="s">
        <v>524</v>
      </c>
    </row>
    <row r="25" spans="1:9" x14ac:dyDescent="0.35">
      <c r="A25" s="394"/>
      <c r="B25" s="395"/>
      <c r="D25" s="404"/>
      <c r="E25" s="405" t="s">
        <v>524</v>
      </c>
      <c r="G25" s="405" t="s">
        <v>524</v>
      </c>
      <c r="H25" s="404"/>
      <c r="I25" s="405" t="s">
        <v>524</v>
      </c>
    </row>
    <row r="26" spans="1:9" x14ac:dyDescent="0.35">
      <c r="A26" s="394"/>
      <c r="B26" s="395"/>
      <c r="D26" s="404"/>
      <c r="E26" s="405" t="s">
        <v>524</v>
      </c>
      <c r="G26" s="405" t="s">
        <v>524</v>
      </c>
      <c r="H26" s="404"/>
      <c r="I26" s="405" t="s">
        <v>524</v>
      </c>
    </row>
    <row r="27" spans="1:9" x14ac:dyDescent="0.35">
      <c r="A27" s="515"/>
      <c r="D27" s="407"/>
      <c r="E27" s="405" t="s">
        <v>524</v>
      </c>
      <c r="G27" s="405" t="s">
        <v>524</v>
      </c>
      <c r="H27" s="407"/>
      <c r="I27" s="405" t="s">
        <v>524</v>
      </c>
    </row>
    <row r="28" spans="1:9" x14ac:dyDescent="0.35">
      <c r="A28" s="394"/>
      <c r="B28" s="395"/>
      <c r="D28" s="404"/>
      <c r="E28" s="405" t="s">
        <v>524</v>
      </c>
      <c r="G28" s="405" t="s">
        <v>524</v>
      </c>
      <c r="H28" s="404"/>
      <c r="I28" s="405" t="s">
        <v>524</v>
      </c>
    </row>
    <row r="29" spans="1:9" x14ac:dyDescent="0.35">
      <c r="A29" s="515"/>
      <c r="D29" s="407"/>
      <c r="E29" s="405" t="s">
        <v>524</v>
      </c>
      <c r="G29" s="405" t="s">
        <v>524</v>
      </c>
      <c r="H29" s="407"/>
      <c r="I29" s="405" t="s">
        <v>524</v>
      </c>
    </row>
    <row r="30" spans="1:9" x14ac:dyDescent="0.35">
      <c r="A30" s="394"/>
      <c r="B30" s="395"/>
      <c r="D30" s="404"/>
      <c r="E30" s="405" t="s">
        <v>524</v>
      </c>
      <c r="G30" s="405" t="s">
        <v>524</v>
      </c>
      <c r="H30" s="404"/>
      <c r="I30" s="405" t="s">
        <v>524</v>
      </c>
    </row>
    <row r="31" spans="1:9" x14ac:dyDescent="0.35">
      <c r="A31" s="394"/>
      <c r="B31" s="395"/>
      <c r="D31" s="404"/>
      <c r="E31" s="405" t="s">
        <v>524</v>
      </c>
      <c r="G31" s="405" t="s">
        <v>524</v>
      </c>
      <c r="H31" s="404"/>
      <c r="I31" s="405" t="s">
        <v>524</v>
      </c>
    </row>
    <row r="32" spans="1:9" x14ac:dyDescent="0.35">
      <c r="A32" s="515"/>
      <c r="D32" s="407"/>
      <c r="E32" s="405" t="s">
        <v>524</v>
      </c>
      <c r="G32" s="405" t="s">
        <v>524</v>
      </c>
      <c r="H32" s="407"/>
      <c r="I32" s="405" t="s">
        <v>524</v>
      </c>
    </row>
    <row r="33" spans="1:9" x14ac:dyDescent="0.35">
      <c r="A33" s="515"/>
      <c r="D33" s="407"/>
      <c r="E33" s="405" t="s">
        <v>524</v>
      </c>
      <c r="G33" s="405" t="s">
        <v>524</v>
      </c>
      <c r="H33" s="407"/>
      <c r="I33" s="405" t="s">
        <v>524</v>
      </c>
    </row>
    <row r="34" spans="1:9" x14ac:dyDescent="0.35">
      <c r="A34" s="515"/>
      <c r="D34" s="407"/>
      <c r="E34" s="405" t="s">
        <v>524</v>
      </c>
      <c r="G34" s="405" t="s">
        <v>524</v>
      </c>
      <c r="H34" s="407"/>
      <c r="I34" s="405" t="s">
        <v>524</v>
      </c>
    </row>
    <row r="35" spans="1:9" x14ac:dyDescent="0.35">
      <c r="A35" s="394"/>
      <c r="B35" s="395"/>
      <c r="D35" s="404"/>
      <c r="E35" s="405" t="s">
        <v>524</v>
      </c>
      <c r="G35" s="405" t="s">
        <v>524</v>
      </c>
      <c r="H35" s="404"/>
      <c r="I35" s="405" t="s">
        <v>524</v>
      </c>
    </row>
    <row r="36" spans="1:9" x14ac:dyDescent="0.35">
      <c r="A36" s="394"/>
      <c r="B36" s="395"/>
      <c r="D36" s="404"/>
      <c r="E36" s="405" t="s">
        <v>524</v>
      </c>
      <c r="G36" s="405" t="s">
        <v>524</v>
      </c>
      <c r="H36" s="404"/>
      <c r="I36" s="405" t="s">
        <v>524</v>
      </c>
    </row>
    <row r="37" spans="1:9" x14ac:dyDescent="0.35">
      <c r="A37" s="515"/>
      <c r="D37" s="407"/>
      <c r="E37" s="405" t="s">
        <v>524</v>
      </c>
      <c r="G37" s="405" t="s">
        <v>524</v>
      </c>
      <c r="H37" s="407"/>
      <c r="I37" s="405" t="s">
        <v>524</v>
      </c>
    </row>
    <row r="38" spans="1:9" x14ac:dyDescent="0.35">
      <c r="A38" s="515"/>
      <c r="D38" s="407"/>
      <c r="E38" s="405" t="s">
        <v>524</v>
      </c>
      <c r="G38" s="405" t="s">
        <v>524</v>
      </c>
      <c r="H38" s="407"/>
      <c r="I38" s="405" t="s">
        <v>524</v>
      </c>
    </row>
    <row r="39" spans="1:9" x14ac:dyDescent="0.35">
      <c r="A39" s="515"/>
      <c r="D39" s="407"/>
      <c r="E39" s="405" t="s">
        <v>524</v>
      </c>
      <c r="G39" s="405" t="s">
        <v>524</v>
      </c>
      <c r="H39" s="407"/>
      <c r="I39" s="405" t="s">
        <v>524</v>
      </c>
    </row>
    <row r="40" spans="1:9" x14ac:dyDescent="0.35">
      <c r="A40" s="394"/>
      <c r="B40" s="395"/>
      <c r="D40" s="404"/>
      <c r="E40" s="405" t="s">
        <v>524</v>
      </c>
      <c r="G40" s="405" t="s">
        <v>524</v>
      </c>
      <c r="H40" s="404"/>
      <c r="I40" s="405" t="s">
        <v>524</v>
      </c>
    </row>
    <row r="41" spans="1:9" x14ac:dyDescent="0.35">
      <c r="A41" s="394"/>
      <c r="B41" s="395"/>
      <c r="D41" s="404"/>
      <c r="E41" s="405" t="s">
        <v>524</v>
      </c>
      <c r="G41" s="405" t="s">
        <v>524</v>
      </c>
      <c r="H41" s="404"/>
      <c r="I41" s="405" t="s">
        <v>524</v>
      </c>
    </row>
    <row r="42" spans="1:9" x14ac:dyDescent="0.35">
      <c r="A42" s="394"/>
      <c r="B42" s="395"/>
      <c r="D42" s="404"/>
      <c r="E42" s="405" t="s">
        <v>524</v>
      </c>
      <c r="G42" s="405" t="s">
        <v>524</v>
      </c>
      <c r="H42" s="404"/>
      <c r="I42" s="405" t="s">
        <v>524</v>
      </c>
    </row>
    <row r="43" spans="1:9" x14ac:dyDescent="0.35">
      <c r="A43" s="394"/>
      <c r="B43" s="395"/>
      <c r="D43" s="404"/>
      <c r="E43" s="405" t="s">
        <v>524</v>
      </c>
      <c r="G43" s="405" t="s">
        <v>524</v>
      </c>
      <c r="H43" s="404"/>
      <c r="I43" s="405" t="s">
        <v>524</v>
      </c>
    </row>
    <row r="44" spans="1:9" x14ac:dyDescent="0.35">
      <c r="A44" s="394"/>
      <c r="B44" s="395"/>
      <c r="D44" s="404"/>
      <c r="E44" s="405" t="s">
        <v>524</v>
      </c>
      <c r="G44" s="405" t="s">
        <v>524</v>
      </c>
      <c r="H44" s="404"/>
      <c r="I44" s="405" t="s">
        <v>524</v>
      </c>
    </row>
    <row r="45" spans="1:9" x14ac:dyDescent="0.35">
      <c r="A45" s="515"/>
      <c r="D45" s="407"/>
      <c r="E45" s="405" t="s">
        <v>524</v>
      </c>
      <c r="G45" s="405" t="s">
        <v>524</v>
      </c>
      <c r="H45" s="407"/>
      <c r="I45" s="405" t="s">
        <v>524</v>
      </c>
    </row>
    <row r="46" spans="1:9" x14ac:dyDescent="0.35">
      <c r="A46" s="515"/>
      <c r="D46" s="407"/>
      <c r="E46" s="405" t="s">
        <v>524</v>
      </c>
      <c r="G46" s="405" t="s">
        <v>524</v>
      </c>
      <c r="H46" s="407"/>
      <c r="I46" s="405" t="s">
        <v>524</v>
      </c>
    </row>
    <row r="47" spans="1:9" x14ac:dyDescent="0.35">
      <c r="A47" s="394"/>
      <c r="B47" s="395"/>
      <c r="D47" s="404"/>
      <c r="E47" s="405" t="s">
        <v>524</v>
      </c>
      <c r="G47" s="405" t="s">
        <v>524</v>
      </c>
      <c r="H47" s="404"/>
      <c r="I47" s="405" t="s">
        <v>524</v>
      </c>
    </row>
    <row r="48" spans="1:9" x14ac:dyDescent="0.35">
      <c r="A48" s="515"/>
      <c r="D48" s="407"/>
      <c r="E48" s="405" t="s">
        <v>524</v>
      </c>
      <c r="G48" s="405" t="s">
        <v>524</v>
      </c>
      <c r="H48" s="407"/>
      <c r="I48" s="405" t="s">
        <v>524</v>
      </c>
    </row>
    <row r="49" spans="1:9" x14ac:dyDescent="0.35">
      <c r="A49" s="394"/>
      <c r="B49" s="395"/>
      <c r="D49" s="404"/>
      <c r="E49" s="405" t="s">
        <v>524</v>
      </c>
      <c r="G49" s="405" t="s">
        <v>524</v>
      </c>
      <c r="H49" s="404"/>
      <c r="I49" s="405" t="s">
        <v>524</v>
      </c>
    </row>
    <row r="50" spans="1:9" x14ac:dyDescent="0.35">
      <c r="A50" s="515"/>
      <c r="D50" s="407"/>
      <c r="E50" s="405" t="s">
        <v>524</v>
      </c>
      <c r="G50" s="405" t="s">
        <v>524</v>
      </c>
      <c r="H50" s="407"/>
      <c r="I50" s="405" t="s">
        <v>524</v>
      </c>
    </row>
    <row r="51" spans="1:9" x14ac:dyDescent="0.35">
      <c r="A51" s="515"/>
      <c r="D51" s="407"/>
      <c r="E51" s="405" t="s">
        <v>524</v>
      </c>
      <c r="G51" s="405" t="s">
        <v>524</v>
      </c>
      <c r="H51" s="407"/>
      <c r="I51" s="405" t="s">
        <v>524</v>
      </c>
    </row>
    <row r="52" spans="1:9" x14ac:dyDescent="0.35">
      <c r="A52" s="515"/>
      <c r="D52" s="407"/>
      <c r="E52" s="405" t="s">
        <v>524</v>
      </c>
      <c r="G52" s="405" t="s">
        <v>524</v>
      </c>
      <c r="H52" s="407"/>
      <c r="I52" s="405" t="s">
        <v>524</v>
      </c>
    </row>
    <row r="53" spans="1:9" x14ac:dyDescent="0.35">
      <c r="A53" s="394"/>
      <c r="B53" s="395"/>
      <c r="D53" s="404"/>
      <c r="E53" s="405" t="s">
        <v>524</v>
      </c>
      <c r="G53" s="405" t="s">
        <v>524</v>
      </c>
      <c r="H53" s="404"/>
      <c r="I53" s="405" t="s">
        <v>524</v>
      </c>
    </row>
    <row r="54" spans="1:9" x14ac:dyDescent="0.35">
      <c r="A54" s="515"/>
      <c r="D54" s="407"/>
      <c r="E54" s="405" t="s">
        <v>524</v>
      </c>
      <c r="G54" s="405" t="s">
        <v>524</v>
      </c>
      <c r="H54" s="407"/>
      <c r="I54" s="405" t="s">
        <v>524</v>
      </c>
    </row>
    <row r="55" spans="1:9" x14ac:dyDescent="0.35">
      <c r="A55" s="515"/>
      <c r="D55" s="407"/>
      <c r="E55" s="405" t="s">
        <v>524</v>
      </c>
      <c r="G55" s="405" t="s">
        <v>524</v>
      </c>
      <c r="H55" s="407"/>
      <c r="I55" s="405" t="s">
        <v>524</v>
      </c>
    </row>
    <row r="56" spans="1:9" x14ac:dyDescent="0.35">
      <c r="A56" s="515"/>
      <c r="D56" s="407"/>
      <c r="E56" s="405" t="s">
        <v>524</v>
      </c>
      <c r="G56" s="405" t="s">
        <v>524</v>
      </c>
      <c r="H56" s="407"/>
      <c r="I56" s="405" t="s">
        <v>524</v>
      </c>
    </row>
    <row r="57" spans="1:9" x14ac:dyDescent="0.35">
      <c r="A57" s="394"/>
      <c r="B57" s="395"/>
      <c r="D57" s="404"/>
      <c r="E57" s="405" t="s">
        <v>524</v>
      </c>
      <c r="G57" s="405" t="s">
        <v>524</v>
      </c>
      <c r="H57" s="404"/>
      <c r="I57" s="405" t="s">
        <v>524</v>
      </c>
    </row>
    <row r="58" spans="1:9" x14ac:dyDescent="0.35">
      <c r="A58" s="394"/>
      <c r="B58" s="395"/>
      <c r="D58" s="404"/>
      <c r="E58" s="405" t="s">
        <v>524</v>
      </c>
      <c r="G58" s="405" t="s">
        <v>524</v>
      </c>
      <c r="H58" s="404"/>
      <c r="I58" s="405" t="s">
        <v>524</v>
      </c>
    </row>
    <row r="59" spans="1:9" x14ac:dyDescent="0.35">
      <c r="A59" s="394"/>
      <c r="B59" s="395"/>
      <c r="D59" s="404"/>
      <c r="E59" s="405" t="s">
        <v>524</v>
      </c>
      <c r="G59" s="405" t="s">
        <v>524</v>
      </c>
      <c r="H59" s="404"/>
      <c r="I59" s="405" t="s">
        <v>524</v>
      </c>
    </row>
    <row r="60" spans="1:9" x14ac:dyDescent="0.35">
      <c r="A60" s="515"/>
      <c r="D60" s="407"/>
      <c r="E60" s="405" t="s">
        <v>524</v>
      </c>
      <c r="G60" s="405" t="s">
        <v>524</v>
      </c>
      <c r="H60" s="407"/>
      <c r="I60" s="405" t="s">
        <v>524</v>
      </c>
    </row>
    <row r="61" spans="1:9" x14ac:dyDescent="0.35">
      <c r="A61" s="394"/>
      <c r="B61" s="395"/>
      <c r="D61" s="404"/>
      <c r="E61" s="405" t="s">
        <v>524</v>
      </c>
      <c r="G61" s="405" t="s">
        <v>524</v>
      </c>
      <c r="H61" s="404"/>
      <c r="I61" s="405" t="s">
        <v>524</v>
      </c>
    </row>
    <row r="62" spans="1:9" x14ac:dyDescent="0.35">
      <c r="A62" s="515"/>
      <c r="D62" s="407"/>
      <c r="E62" s="405" t="s">
        <v>524</v>
      </c>
      <c r="G62" s="405" t="s">
        <v>524</v>
      </c>
      <c r="H62" s="407"/>
      <c r="I62" s="405" t="s">
        <v>524</v>
      </c>
    </row>
    <row r="63" spans="1:9" x14ac:dyDescent="0.35">
      <c r="A63" s="515"/>
      <c r="D63" s="407"/>
      <c r="E63" s="405" t="s">
        <v>524</v>
      </c>
      <c r="G63" s="405" t="s">
        <v>524</v>
      </c>
      <c r="H63" s="407"/>
      <c r="I63" s="405" t="s">
        <v>524</v>
      </c>
    </row>
    <row r="64" spans="1:9" x14ac:dyDescent="0.35">
      <c r="A64" s="515"/>
      <c r="D64" s="407"/>
      <c r="E64" s="405" t="s">
        <v>524</v>
      </c>
      <c r="G64" s="405" t="s">
        <v>524</v>
      </c>
      <c r="H64" s="407"/>
      <c r="I64" s="405" t="s">
        <v>524</v>
      </c>
    </row>
    <row r="65" spans="1:9" x14ac:dyDescent="0.35">
      <c r="A65" s="515"/>
      <c r="D65" s="407"/>
      <c r="E65" s="405" t="s">
        <v>524</v>
      </c>
      <c r="G65" s="405" t="s">
        <v>524</v>
      </c>
      <c r="H65" s="407"/>
      <c r="I65" s="405" t="s">
        <v>524</v>
      </c>
    </row>
    <row r="66" spans="1:9" x14ac:dyDescent="0.35">
      <c r="A66" s="515"/>
      <c r="D66" s="407"/>
      <c r="E66" s="405" t="s">
        <v>524</v>
      </c>
      <c r="G66" s="405" t="s">
        <v>524</v>
      </c>
      <c r="H66" s="407"/>
      <c r="I66" s="405" t="s">
        <v>524</v>
      </c>
    </row>
    <row r="67" spans="1:9" x14ac:dyDescent="0.35">
      <c r="A67" s="515"/>
      <c r="D67" s="407"/>
      <c r="E67" s="405" t="s">
        <v>524</v>
      </c>
      <c r="G67" s="405" t="s">
        <v>524</v>
      </c>
      <c r="H67" s="407"/>
      <c r="I67" s="405" t="s">
        <v>524</v>
      </c>
    </row>
    <row r="68" spans="1:9" x14ac:dyDescent="0.35">
      <c r="A68" s="394"/>
      <c r="B68" s="395"/>
      <c r="D68" s="404"/>
      <c r="E68" s="405" t="s">
        <v>524</v>
      </c>
      <c r="G68" s="405" t="s">
        <v>524</v>
      </c>
      <c r="H68" s="404"/>
      <c r="I68" s="405" t="s">
        <v>524</v>
      </c>
    </row>
    <row r="69" spans="1:9" x14ac:dyDescent="0.35">
      <c r="A69" s="515"/>
      <c r="D69" s="407"/>
      <c r="E69" s="405" t="s">
        <v>524</v>
      </c>
      <c r="G69" s="405" t="s">
        <v>524</v>
      </c>
      <c r="H69" s="407"/>
      <c r="I69" s="405" t="s">
        <v>524</v>
      </c>
    </row>
    <row r="70" spans="1:9" x14ac:dyDescent="0.35">
      <c r="A70" s="515"/>
      <c r="D70" s="407"/>
      <c r="E70" s="405" t="s">
        <v>524</v>
      </c>
      <c r="G70" s="405" t="s">
        <v>524</v>
      </c>
      <c r="H70" s="407"/>
      <c r="I70" s="405" t="s">
        <v>524</v>
      </c>
    </row>
    <row r="71" spans="1:9" x14ac:dyDescent="0.35">
      <c r="A71" s="515"/>
      <c r="D71" s="407"/>
      <c r="E71" s="405" t="s">
        <v>524</v>
      </c>
      <c r="G71" s="405" t="s">
        <v>524</v>
      </c>
      <c r="H71" s="407"/>
      <c r="I71" s="405" t="s">
        <v>524</v>
      </c>
    </row>
    <row r="72" spans="1:9" x14ac:dyDescent="0.35">
      <c r="A72" s="515"/>
      <c r="D72" s="407"/>
      <c r="E72" s="405" t="s">
        <v>524</v>
      </c>
      <c r="G72" s="405" t="s">
        <v>524</v>
      </c>
      <c r="H72" s="407"/>
      <c r="I72" s="405" t="s">
        <v>524</v>
      </c>
    </row>
    <row r="73" spans="1:9" x14ac:dyDescent="0.35">
      <c r="A73" s="394"/>
      <c r="B73" s="395"/>
      <c r="D73" s="404"/>
      <c r="E73" s="405" t="s">
        <v>524</v>
      </c>
      <c r="G73" s="405" t="s">
        <v>524</v>
      </c>
      <c r="H73" s="404"/>
      <c r="I73" s="405" t="s">
        <v>524</v>
      </c>
    </row>
    <row r="74" spans="1:9" x14ac:dyDescent="0.35">
      <c r="A74" s="394"/>
      <c r="B74" s="395"/>
      <c r="D74" s="404"/>
      <c r="E74" s="405" t="s">
        <v>524</v>
      </c>
      <c r="G74" s="405" t="s">
        <v>524</v>
      </c>
      <c r="H74" s="404"/>
      <c r="I74" s="405" t="s">
        <v>524</v>
      </c>
    </row>
    <row r="75" spans="1:9" x14ac:dyDescent="0.35">
      <c r="A75" s="515"/>
      <c r="D75" s="407"/>
      <c r="E75" s="405" t="s">
        <v>524</v>
      </c>
      <c r="G75" s="405" t="s">
        <v>524</v>
      </c>
      <c r="H75" s="407"/>
      <c r="I75" s="405" t="s">
        <v>524</v>
      </c>
    </row>
    <row r="76" spans="1:9" x14ac:dyDescent="0.35">
      <c r="A76" s="515"/>
      <c r="D76" s="407"/>
      <c r="E76" s="405" t="s">
        <v>524</v>
      </c>
      <c r="G76" s="405" t="s">
        <v>524</v>
      </c>
      <c r="H76" s="407"/>
      <c r="I76" s="405" t="s">
        <v>524</v>
      </c>
    </row>
    <row r="77" spans="1:9" x14ac:dyDescent="0.35">
      <c r="A77" s="394"/>
      <c r="B77" s="395"/>
      <c r="D77" s="404"/>
      <c r="E77" s="405" t="s">
        <v>524</v>
      </c>
      <c r="G77" s="405" t="s">
        <v>524</v>
      </c>
      <c r="H77" s="404"/>
      <c r="I77" s="405" t="s">
        <v>524</v>
      </c>
    </row>
    <row r="78" spans="1:9" x14ac:dyDescent="0.35">
      <c r="A78" s="515"/>
      <c r="D78" s="407"/>
      <c r="E78" s="405" t="s">
        <v>524</v>
      </c>
      <c r="G78" s="405" t="s">
        <v>524</v>
      </c>
      <c r="H78" s="407"/>
      <c r="I78" s="405" t="s">
        <v>524</v>
      </c>
    </row>
    <row r="79" spans="1:9" x14ac:dyDescent="0.35">
      <c r="E79" s="405" t="s">
        <v>524</v>
      </c>
      <c r="G79" s="405" t="s">
        <v>524</v>
      </c>
      <c r="I79" s="405" t="s">
        <v>524</v>
      </c>
    </row>
    <row r="80" spans="1:9" x14ac:dyDescent="0.35">
      <c r="E80" s="405" t="s">
        <v>524</v>
      </c>
      <c r="G80" s="405" t="s">
        <v>524</v>
      </c>
      <c r="I80" s="405" t="s">
        <v>524</v>
      </c>
    </row>
    <row r="81" spans="5:9" x14ac:dyDescent="0.35">
      <c r="E81" t="s">
        <v>524</v>
      </c>
      <c r="G81" s="405" t="s">
        <v>524</v>
      </c>
      <c r="I81" s="405" t="s">
        <v>524</v>
      </c>
    </row>
    <row r="82" spans="5:9" x14ac:dyDescent="0.35">
      <c r="E82" t="s">
        <v>524</v>
      </c>
      <c r="G82" s="405" t="s">
        <v>524</v>
      </c>
      <c r="I82" s="405" t="s">
        <v>524</v>
      </c>
    </row>
    <row r="83" spans="5:9" x14ac:dyDescent="0.35">
      <c r="E83" t="s">
        <v>524</v>
      </c>
      <c r="G83" s="405" t="s">
        <v>524</v>
      </c>
      <c r="I83" s="405" t="s">
        <v>524</v>
      </c>
    </row>
    <row r="84" spans="5:9" x14ac:dyDescent="0.35">
      <c r="E84" t="s">
        <v>524</v>
      </c>
      <c r="G84" s="405" t="s">
        <v>524</v>
      </c>
      <c r="I84" s="405" t="s">
        <v>524</v>
      </c>
    </row>
    <row r="85" spans="5:9" x14ac:dyDescent="0.35">
      <c r="E85" t="s">
        <v>524</v>
      </c>
      <c r="G85" s="405" t="s">
        <v>524</v>
      </c>
      <c r="I85" s="405" t="s">
        <v>524</v>
      </c>
    </row>
    <row r="86" spans="5:9" x14ac:dyDescent="0.35">
      <c r="E86" t="s">
        <v>524</v>
      </c>
      <c r="G86" s="405" t="s">
        <v>524</v>
      </c>
      <c r="I86" s="405" t="s">
        <v>524</v>
      </c>
    </row>
    <row r="87" spans="5:9" x14ac:dyDescent="0.35">
      <c r="E87" t="s">
        <v>524</v>
      </c>
      <c r="G87" s="405" t="s">
        <v>524</v>
      </c>
      <c r="I87" s="405" t="s">
        <v>524</v>
      </c>
    </row>
    <row r="88" spans="5:9" x14ac:dyDescent="0.35">
      <c r="E88" t="s">
        <v>524</v>
      </c>
      <c r="G88" s="405" t="s">
        <v>524</v>
      </c>
      <c r="I88" s="405" t="s">
        <v>524</v>
      </c>
    </row>
    <row r="89" spans="5:9" x14ac:dyDescent="0.35">
      <c r="E89" t="s">
        <v>524</v>
      </c>
      <c r="G89" s="405" t="s">
        <v>524</v>
      </c>
      <c r="I89" s="405" t="s">
        <v>524</v>
      </c>
    </row>
    <row r="90" spans="5:9" x14ac:dyDescent="0.35">
      <c r="E90" t="s">
        <v>524</v>
      </c>
      <c r="G90" s="405" t="s">
        <v>524</v>
      </c>
      <c r="I90" s="405" t="s">
        <v>524</v>
      </c>
    </row>
    <row r="91" spans="5:9" x14ac:dyDescent="0.35">
      <c r="E91" t="s">
        <v>524</v>
      </c>
      <c r="G91" s="405" t="s">
        <v>524</v>
      </c>
      <c r="I91" s="405" t="s">
        <v>524</v>
      </c>
    </row>
    <row r="92" spans="5:9" x14ac:dyDescent="0.35">
      <c r="E92" t="s">
        <v>524</v>
      </c>
      <c r="G92" s="405" t="s">
        <v>524</v>
      </c>
      <c r="I92" s="405" t="s">
        <v>524</v>
      </c>
    </row>
    <row r="93" spans="5:9" x14ac:dyDescent="0.35">
      <c r="E93" t="s">
        <v>524</v>
      </c>
      <c r="G93" s="405" t="s">
        <v>524</v>
      </c>
      <c r="I93" s="405" t="s">
        <v>524</v>
      </c>
    </row>
    <row r="94" spans="5:9" x14ac:dyDescent="0.35">
      <c r="E94" t="s">
        <v>524</v>
      </c>
      <c r="G94" s="405" t="s">
        <v>524</v>
      </c>
      <c r="I94" s="405" t="s">
        <v>524</v>
      </c>
    </row>
    <row r="95" spans="5:9" x14ac:dyDescent="0.35">
      <c r="E95" t="s">
        <v>524</v>
      </c>
      <c r="G95" s="405" t="s">
        <v>524</v>
      </c>
      <c r="I95" s="405" t="s">
        <v>524</v>
      </c>
    </row>
    <row r="96" spans="5:9" x14ac:dyDescent="0.35">
      <c r="E96" t="s">
        <v>524</v>
      </c>
      <c r="G96" s="405" t="s">
        <v>524</v>
      </c>
      <c r="I96" s="405" t="s">
        <v>524</v>
      </c>
    </row>
    <row r="97" spans="5:9" x14ac:dyDescent="0.35">
      <c r="E97" t="s">
        <v>524</v>
      </c>
      <c r="G97" s="405" t="s">
        <v>524</v>
      </c>
      <c r="I97" s="405" t="s">
        <v>524</v>
      </c>
    </row>
    <row r="98" spans="5:9" x14ac:dyDescent="0.35">
      <c r="E98" t="s">
        <v>524</v>
      </c>
      <c r="G98" s="405" t="s">
        <v>524</v>
      </c>
      <c r="I98" s="405" t="s">
        <v>524</v>
      </c>
    </row>
    <row r="99" spans="5:9" x14ac:dyDescent="0.35">
      <c r="E99" t="s">
        <v>524</v>
      </c>
      <c r="G99" s="405" t="s">
        <v>524</v>
      </c>
      <c r="I99" s="405" t="s">
        <v>524</v>
      </c>
    </row>
    <row r="100" spans="5:9" x14ac:dyDescent="0.35">
      <c r="E100" t="s">
        <v>524</v>
      </c>
      <c r="G100" s="405" t="s">
        <v>524</v>
      </c>
      <c r="I100" s="405" t="s">
        <v>524</v>
      </c>
    </row>
    <row r="101" spans="5:9" x14ac:dyDescent="0.35">
      <c r="E101" t="s">
        <v>524</v>
      </c>
      <c r="G101" s="405" t="s">
        <v>524</v>
      </c>
      <c r="I101" s="405" t="s">
        <v>524</v>
      </c>
    </row>
    <row r="102" spans="5:9" x14ac:dyDescent="0.35">
      <c r="E102" t="s">
        <v>524</v>
      </c>
      <c r="G102" s="405" t="s">
        <v>524</v>
      </c>
      <c r="I102" s="405" t="s">
        <v>524</v>
      </c>
    </row>
    <row r="103" spans="5:9" x14ac:dyDescent="0.35">
      <c r="E103" t="s">
        <v>524</v>
      </c>
      <c r="G103" s="405" t="s">
        <v>524</v>
      </c>
      <c r="I103" s="405" t="s">
        <v>524</v>
      </c>
    </row>
    <row r="104" spans="5:9" x14ac:dyDescent="0.35">
      <c r="E104" t="s">
        <v>524</v>
      </c>
      <c r="G104" s="405" t="s">
        <v>524</v>
      </c>
      <c r="I104" s="405" t="s">
        <v>524</v>
      </c>
    </row>
    <row r="105" spans="5:9" x14ac:dyDescent="0.35">
      <c r="E105" t="s">
        <v>524</v>
      </c>
      <c r="G105" s="405" t="s">
        <v>524</v>
      </c>
      <c r="I105" s="405" t="s">
        <v>524</v>
      </c>
    </row>
    <row r="106" spans="5:9" x14ac:dyDescent="0.35">
      <c r="E106" t="s">
        <v>524</v>
      </c>
      <c r="G106" s="405" t="s">
        <v>524</v>
      </c>
      <c r="I106" s="405" t="s">
        <v>524</v>
      </c>
    </row>
    <row r="107" spans="5:9" x14ac:dyDescent="0.35">
      <c r="E107" t="s">
        <v>524</v>
      </c>
      <c r="G107" s="405" t="s">
        <v>524</v>
      </c>
      <c r="I107" s="405" t="s">
        <v>524</v>
      </c>
    </row>
    <row r="108" spans="5:9" x14ac:dyDescent="0.35">
      <c r="E108" t="s">
        <v>524</v>
      </c>
      <c r="G108" s="405" t="s">
        <v>524</v>
      </c>
      <c r="I108" s="405" t="s">
        <v>524</v>
      </c>
    </row>
    <row r="109" spans="5:9" x14ac:dyDescent="0.35">
      <c r="E109" t="s">
        <v>524</v>
      </c>
      <c r="G109" s="405" t="s">
        <v>524</v>
      </c>
      <c r="I109" s="405" t="s">
        <v>524</v>
      </c>
    </row>
    <row r="110" spans="5:9" x14ac:dyDescent="0.35">
      <c r="E110" t="s">
        <v>524</v>
      </c>
      <c r="G110" s="405" t="s">
        <v>524</v>
      </c>
      <c r="I110" s="405" t="s">
        <v>524</v>
      </c>
    </row>
    <row r="111" spans="5:9" x14ac:dyDescent="0.35">
      <c r="E111" t="s">
        <v>524</v>
      </c>
      <c r="G111" s="405" t="s">
        <v>524</v>
      </c>
      <c r="I111" s="405" t="s">
        <v>524</v>
      </c>
    </row>
    <row r="112" spans="5:9" x14ac:dyDescent="0.35">
      <c r="E112" t="s">
        <v>524</v>
      </c>
      <c r="G112" s="405" t="s">
        <v>524</v>
      </c>
      <c r="I112" s="405" t="s">
        <v>524</v>
      </c>
    </row>
    <row r="113" spans="5:9" x14ac:dyDescent="0.35">
      <c r="E113" t="s">
        <v>524</v>
      </c>
      <c r="G113" s="405" t="s">
        <v>524</v>
      </c>
      <c r="I113" s="405" t="s">
        <v>524</v>
      </c>
    </row>
    <row r="114" spans="5:9" x14ac:dyDescent="0.35">
      <c r="E114" t="s">
        <v>524</v>
      </c>
      <c r="G114" s="405" t="s">
        <v>524</v>
      </c>
      <c r="I114" s="405" t="s">
        <v>524</v>
      </c>
    </row>
    <row r="115" spans="5:9" x14ac:dyDescent="0.35">
      <c r="E115" t="s">
        <v>524</v>
      </c>
      <c r="G115" s="405" t="s">
        <v>524</v>
      </c>
      <c r="I115" s="405" t="s">
        <v>524</v>
      </c>
    </row>
    <row r="116" spans="5:9" x14ac:dyDescent="0.35">
      <c r="E116" t="s">
        <v>524</v>
      </c>
      <c r="G116" s="405" t="s">
        <v>524</v>
      </c>
      <c r="I116" s="405" t="s">
        <v>524</v>
      </c>
    </row>
    <row r="117" spans="5:9" x14ac:dyDescent="0.35">
      <c r="E117" t="s">
        <v>524</v>
      </c>
      <c r="G117" s="405" t="s">
        <v>524</v>
      </c>
      <c r="I117" s="405" t="s">
        <v>524</v>
      </c>
    </row>
    <row r="118" spans="5:9" x14ac:dyDescent="0.35">
      <c r="E118" t="s">
        <v>524</v>
      </c>
      <c r="G118" s="405" t="s">
        <v>524</v>
      </c>
      <c r="I118" s="405" t="s">
        <v>524</v>
      </c>
    </row>
    <row r="119" spans="5:9" x14ac:dyDescent="0.35">
      <c r="E119" t="s">
        <v>524</v>
      </c>
      <c r="G119" s="405" t="s">
        <v>524</v>
      </c>
      <c r="I119" s="405" t="s">
        <v>524</v>
      </c>
    </row>
    <row r="120" spans="5:9" x14ac:dyDescent="0.35">
      <c r="E120" t="s">
        <v>524</v>
      </c>
      <c r="G120" s="405" t="s">
        <v>524</v>
      </c>
      <c r="I120" s="405" t="s">
        <v>524</v>
      </c>
    </row>
    <row r="121" spans="5:9" x14ac:dyDescent="0.35">
      <c r="E121" t="s">
        <v>524</v>
      </c>
      <c r="G121" s="405" t="s">
        <v>524</v>
      </c>
      <c r="I121" s="405" t="s">
        <v>524</v>
      </c>
    </row>
    <row r="122" spans="5:9" x14ac:dyDescent="0.35">
      <c r="E122" t="s">
        <v>524</v>
      </c>
      <c r="G122" s="405" t="s">
        <v>524</v>
      </c>
      <c r="I122" s="405" t="s">
        <v>524</v>
      </c>
    </row>
    <row r="123" spans="5:9" x14ac:dyDescent="0.35">
      <c r="E123" t="s">
        <v>524</v>
      </c>
      <c r="G123" s="405" t="s">
        <v>524</v>
      </c>
      <c r="I123" s="405" t="s">
        <v>524</v>
      </c>
    </row>
    <row r="124" spans="5:9" x14ac:dyDescent="0.35">
      <c r="E124" t="s">
        <v>524</v>
      </c>
      <c r="G124" s="405" t="s">
        <v>524</v>
      </c>
      <c r="I124" s="405" t="s">
        <v>524</v>
      </c>
    </row>
    <row r="125" spans="5:9" x14ac:dyDescent="0.35">
      <c r="E125" t="s">
        <v>524</v>
      </c>
      <c r="G125" s="405" t="s">
        <v>524</v>
      </c>
      <c r="I125" s="405" t="s">
        <v>524</v>
      </c>
    </row>
    <row r="126" spans="5:9" x14ac:dyDescent="0.35">
      <c r="E126" t="s">
        <v>524</v>
      </c>
      <c r="G126" s="405" t="s">
        <v>524</v>
      </c>
      <c r="I126" s="405" t="s">
        <v>524</v>
      </c>
    </row>
    <row r="127" spans="5:9" x14ac:dyDescent="0.35">
      <c r="E127" t="s">
        <v>524</v>
      </c>
      <c r="G127" s="405" t="s">
        <v>524</v>
      </c>
      <c r="I127" s="405" t="s">
        <v>524</v>
      </c>
    </row>
    <row r="128" spans="5:9" x14ac:dyDescent="0.35">
      <c r="E128" t="s">
        <v>524</v>
      </c>
      <c r="G128" s="405" t="s">
        <v>524</v>
      </c>
      <c r="I128" s="405" t="s">
        <v>524</v>
      </c>
    </row>
    <row r="129" spans="5:9" x14ac:dyDescent="0.35">
      <c r="E129" t="s">
        <v>524</v>
      </c>
      <c r="G129" s="405" t="s">
        <v>524</v>
      </c>
      <c r="I129" s="405" t="s">
        <v>524</v>
      </c>
    </row>
    <row r="130" spans="5:9" x14ac:dyDescent="0.35">
      <c r="E130" t="s">
        <v>524</v>
      </c>
      <c r="G130" s="405" t="s">
        <v>524</v>
      </c>
      <c r="I130" s="405" t="s">
        <v>524</v>
      </c>
    </row>
    <row r="131" spans="5:9" x14ac:dyDescent="0.35">
      <c r="E131" t="s">
        <v>524</v>
      </c>
      <c r="G131" s="405" t="s">
        <v>524</v>
      </c>
      <c r="I131" s="405" t="s">
        <v>524</v>
      </c>
    </row>
    <row r="132" spans="5:9" x14ac:dyDescent="0.35">
      <c r="E132" t="s">
        <v>524</v>
      </c>
      <c r="G132" s="405" t="s">
        <v>524</v>
      </c>
      <c r="I132" s="405" t="s">
        <v>524</v>
      </c>
    </row>
    <row r="133" spans="5:9" x14ac:dyDescent="0.35">
      <c r="E133" t="s">
        <v>524</v>
      </c>
      <c r="G133" s="405" t="s">
        <v>524</v>
      </c>
      <c r="I133" s="405" t="s">
        <v>524</v>
      </c>
    </row>
    <row r="134" spans="5:9" x14ac:dyDescent="0.35">
      <c r="E134" t="s">
        <v>524</v>
      </c>
      <c r="G134" s="405" t="s">
        <v>524</v>
      </c>
      <c r="I134" s="405" t="s">
        <v>524</v>
      </c>
    </row>
    <row r="135" spans="5:9" x14ac:dyDescent="0.35">
      <c r="E135" t="s">
        <v>524</v>
      </c>
      <c r="G135" s="405" t="s">
        <v>524</v>
      </c>
      <c r="I135" s="405" t="s">
        <v>524</v>
      </c>
    </row>
    <row r="136" spans="5:9" x14ac:dyDescent="0.35">
      <c r="E136" t="s">
        <v>524</v>
      </c>
      <c r="G136" s="405" t="s">
        <v>524</v>
      </c>
      <c r="I136" s="405" t="s">
        <v>524</v>
      </c>
    </row>
    <row r="137" spans="5:9" x14ac:dyDescent="0.35">
      <c r="E137" t="s">
        <v>524</v>
      </c>
      <c r="G137" s="405" t="s">
        <v>524</v>
      </c>
      <c r="I137" s="405" t="s">
        <v>524</v>
      </c>
    </row>
    <row r="138" spans="5:9" x14ac:dyDescent="0.35">
      <c r="E138" t="s">
        <v>524</v>
      </c>
      <c r="G138" s="405" t="s">
        <v>524</v>
      </c>
      <c r="I138" s="405" t="s">
        <v>524</v>
      </c>
    </row>
    <row r="139" spans="5:9" x14ac:dyDescent="0.35">
      <c r="E139" t="s">
        <v>524</v>
      </c>
      <c r="G139" s="405" t="s">
        <v>524</v>
      </c>
      <c r="I139" s="405" t="s">
        <v>524</v>
      </c>
    </row>
    <row r="140" spans="5:9" x14ac:dyDescent="0.35">
      <c r="E140" t="s">
        <v>524</v>
      </c>
      <c r="G140" s="405" t="s">
        <v>524</v>
      </c>
      <c r="I140" s="405" t="s">
        <v>524</v>
      </c>
    </row>
    <row r="141" spans="5:9" x14ac:dyDescent="0.35">
      <c r="E141" t="s">
        <v>524</v>
      </c>
      <c r="G141" s="405" t="s">
        <v>524</v>
      </c>
      <c r="I141" s="405" t="s">
        <v>524</v>
      </c>
    </row>
    <row r="142" spans="5:9" x14ac:dyDescent="0.35">
      <c r="E142" t="s">
        <v>524</v>
      </c>
      <c r="G142" s="405" t="s">
        <v>524</v>
      </c>
      <c r="I142" s="405" t="s">
        <v>524</v>
      </c>
    </row>
    <row r="143" spans="5:9" x14ac:dyDescent="0.35">
      <c r="E143" t="s">
        <v>524</v>
      </c>
      <c r="G143" s="405" t="s">
        <v>524</v>
      </c>
      <c r="I143" s="405" t="s">
        <v>524</v>
      </c>
    </row>
    <row r="144" spans="5:9" x14ac:dyDescent="0.35">
      <c r="E144" t="s">
        <v>524</v>
      </c>
      <c r="G144" s="405" t="s">
        <v>524</v>
      </c>
      <c r="I144" s="405" t="s">
        <v>524</v>
      </c>
    </row>
    <row r="145" spans="5:9" x14ac:dyDescent="0.35">
      <c r="E145" t="s">
        <v>524</v>
      </c>
      <c r="G145" s="405" t="s">
        <v>524</v>
      </c>
      <c r="I145" s="405" t="s">
        <v>524</v>
      </c>
    </row>
    <row r="146" spans="5:9" x14ac:dyDescent="0.35">
      <c r="E146" t="s">
        <v>524</v>
      </c>
      <c r="G146" s="405" t="s">
        <v>524</v>
      </c>
      <c r="I146" s="405" t="s">
        <v>524</v>
      </c>
    </row>
    <row r="147" spans="5:9" x14ac:dyDescent="0.35">
      <c r="E147" t="s">
        <v>524</v>
      </c>
      <c r="G147" s="405" t="s">
        <v>524</v>
      </c>
      <c r="I147" s="405" t="s">
        <v>524</v>
      </c>
    </row>
    <row r="148" spans="5:9" x14ac:dyDescent="0.35">
      <c r="E148" t="s">
        <v>524</v>
      </c>
      <c r="G148" s="405" t="s">
        <v>524</v>
      </c>
      <c r="I148" s="405" t="s">
        <v>524</v>
      </c>
    </row>
    <row r="149" spans="5:9" x14ac:dyDescent="0.35">
      <c r="E149" t="s">
        <v>524</v>
      </c>
      <c r="G149" s="405" t="s">
        <v>524</v>
      </c>
      <c r="I149" s="405" t="s">
        <v>524</v>
      </c>
    </row>
    <row r="150" spans="5:9" x14ac:dyDescent="0.35">
      <c r="E150" t="s">
        <v>524</v>
      </c>
      <c r="G150" s="405" t="s">
        <v>524</v>
      </c>
      <c r="I150" s="405" t="s">
        <v>524</v>
      </c>
    </row>
    <row r="151" spans="5:9" x14ac:dyDescent="0.35">
      <c r="E151" t="s">
        <v>524</v>
      </c>
      <c r="G151" s="405" t="s">
        <v>524</v>
      </c>
      <c r="I151" s="405" t="s">
        <v>524</v>
      </c>
    </row>
    <row r="152" spans="5:9" x14ac:dyDescent="0.35">
      <c r="E152" t="s">
        <v>524</v>
      </c>
      <c r="G152" s="405" t="s">
        <v>524</v>
      </c>
      <c r="I152" s="405" t="s">
        <v>524</v>
      </c>
    </row>
    <row r="153" spans="5:9" x14ac:dyDescent="0.35">
      <c r="E153" t="s">
        <v>524</v>
      </c>
      <c r="G153" s="405" t="s">
        <v>524</v>
      </c>
      <c r="I153" s="405" t="s">
        <v>524</v>
      </c>
    </row>
    <row r="154" spans="5:9" x14ac:dyDescent="0.35">
      <c r="E154" t="s">
        <v>524</v>
      </c>
      <c r="G154" s="405" t="s">
        <v>524</v>
      </c>
      <c r="I154" s="405" t="s">
        <v>524</v>
      </c>
    </row>
    <row r="155" spans="5:9" x14ac:dyDescent="0.35">
      <c r="E155" t="s">
        <v>524</v>
      </c>
      <c r="G155" s="405" t="s">
        <v>524</v>
      </c>
      <c r="I155" s="405" t="s">
        <v>524</v>
      </c>
    </row>
    <row r="156" spans="5:9" x14ac:dyDescent="0.35">
      <c r="E156" t="s">
        <v>524</v>
      </c>
      <c r="G156" s="405" t="s">
        <v>524</v>
      </c>
      <c r="I156" s="405" t="s">
        <v>524</v>
      </c>
    </row>
    <row r="157" spans="5:9" x14ac:dyDescent="0.35">
      <c r="E157" t="s">
        <v>524</v>
      </c>
      <c r="G157" s="405" t="s">
        <v>524</v>
      </c>
      <c r="I157" s="405" t="s">
        <v>524</v>
      </c>
    </row>
    <row r="158" spans="5:9" x14ac:dyDescent="0.35">
      <c r="E158" t="s">
        <v>524</v>
      </c>
      <c r="G158" s="405" t="s">
        <v>524</v>
      </c>
      <c r="I158" s="405" t="s">
        <v>524</v>
      </c>
    </row>
    <row r="159" spans="5:9" x14ac:dyDescent="0.35">
      <c r="E159" t="s">
        <v>524</v>
      </c>
      <c r="G159" s="405" t="s">
        <v>524</v>
      </c>
      <c r="I159" s="405" t="s">
        <v>524</v>
      </c>
    </row>
    <row r="160" spans="5:9" x14ac:dyDescent="0.35">
      <c r="E160" t="s">
        <v>524</v>
      </c>
      <c r="G160" s="405" t="s">
        <v>524</v>
      </c>
      <c r="I160" s="405" t="s">
        <v>524</v>
      </c>
    </row>
    <row r="161" spans="5:9" x14ac:dyDescent="0.35">
      <c r="E161" t="s">
        <v>524</v>
      </c>
      <c r="G161" s="405" t="s">
        <v>524</v>
      </c>
      <c r="I161" s="405" t="s">
        <v>524</v>
      </c>
    </row>
    <row r="162" spans="5:9" x14ac:dyDescent="0.35">
      <c r="E162" t="s">
        <v>524</v>
      </c>
      <c r="G162" s="405" t="s">
        <v>524</v>
      </c>
      <c r="I162" s="405" t="s">
        <v>524</v>
      </c>
    </row>
    <row r="163" spans="5:9" x14ac:dyDescent="0.35">
      <c r="E163" t="s">
        <v>524</v>
      </c>
      <c r="G163" s="405" t="s">
        <v>524</v>
      </c>
      <c r="I163" s="405" t="s">
        <v>524</v>
      </c>
    </row>
    <row r="164" spans="5:9" x14ac:dyDescent="0.35">
      <c r="E164" t="s">
        <v>524</v>
      </c>
      <c r="G164" s="405" t="s">
        <v>524</v>
      </c>
      <c r="I164" s="405" t="s">
        <v>524</v>
      </c>
    </row>
    <row r="165" spans="5:9" x14ac:dyDescent="0.35">
      <c r="E165" t="s">
        <v>524</v>
      </c>
      <c r="G165" s="405" t="s">
        <v>524</v>
      </c>
      <c r="I165" s="405" t="s">
        <v>524</v>
      </c>
    </row>
    <row r="166" spans="5:9" x14ac:dyDescent="0.35">
      <c r="E166" t="s">
        <v>524</v>
      </c>
      <c r="G166" s="405" t="s">
        <v>524</v>
      </c>
      <c r="I166" s="405" t="s">
        <v>524</v>
      </c>
    </row>
    <row r="167" spans="5:9" x14ac:dyDescent="0.35">
      <c r="E167" t="s">
        <v>524</v>
      </c>
      <c r="G167" s="405" t="s">
        <v>524</v>
      </c>
      <c r="I167" s="405" t="s">
        <v>524</v>
      </c>
    </row>
    <row r="168" spans="5:9" x14ac:dyDescent="0.35">
      <c r="E168" t="s">
        <v>524</v>
      </c>
      <c r="G168" s="405" t="s">
        <v>524</v>
      </c>
      <c r="I168" s="405" t="s">
        <v>524</v>
      </c>
    </row>
    <row r="169" spans="5:9" x14ac:dyDescent="0.35">
      <c r="E169" t="s">
        <v>524</v>
      </c>
      <c r="G169" s="405" t="s">
        <v>524</v>
      </c>
      <c r="I169" s="405" t="s">
        <v>524</v>
      </c>
    </row>
    <row r="170" spans="5:9" x14ac:dyDescent="0.35">
      <c r="E170" t="s">
        <v>524</v>
      </c>
      <c r="G170" s="405" t="s">
        <v>524</v>
      </c>
      <c r="I170" s="405" t="s">
        <v>524</v>
      </c>
    </row>
    <row r="171" spans="5:9" x14ac:dyDescent="0.35">
      <c r="E171" t="s">
        <v>524</v>
      </c>
      <c r="G171" s="405" t="s">
        <v>524</v>
      </c>
      <c r="I171" s="405" t="s">
        <v>524</v>
      </c>
    </row>
    <row r="172" spans="5:9" x14ac:dyDescent="0.35">
      <c r="E172" t="s">
        <v>524</v>
      </c>
      <c r="G172" s="405" t="s">
        <v>524</v>
      </c>
      <c r="I172" s="405" t="s">
        <v>524</v>
      </c>
    </row>
    <row r="173" spans="5:9" x14ac:dyDescent="0.35">
      <c r="E173" t="s">
        <v>524</v>
      </c>
      <c r="G173" s="405" t="s">
        <v>524</v>
      </c>
      <c r="I173" s="405" t="s">
        <v>524</v>
      </c>
    </row>
    <row r="174" spans="5:9" x14ac:dyDescent="0.35">
      <c r="E174" t="s">
        <v>524</v>
      </c>
      <c r="G174" s="405" t="s">
        <v>524</v>
      </c>
      <c r="I174" s="405" t="s">
        <v>524</v>
      </c>
    </row>
    <row r="175" spans="5:9" x14ac:dyDescent="0.35">
      <c r="E175" t="s">
        <v>524</v>
      </c>
      <c r="G175" s="405" t="s">
        <v>524</v>
      </c>
      <c r="I175" s="405" t="s">
        <v>524</v>
      </c>
    </row>
    <row r="176" spans="5:9" x14ac:dyDescent="0.35">
      <c r="E176" t="s">
        <v>524</v>
      </c>
      <c r="G176" s="405" t="s">
        <v>524</v>
      </c>
      <c r="I176" s="405" t="s">
        <v>524</v>
      </c>
    </row>
    <row r="177" spans="5:9" x14ac:dyDescent="0.35">
      <c r="E177" t="s">
        <v>524</v>
      </c>
      <c r="G177" s="405" t="s">
        <v>524</v>
      </c>
      <c r="I177" s="405" t="s">
        <v>524</v>
      </c>
    </row>
    <row r="178" spans="5:9" x14ac:dyDescent="0.35">
      <c r="E178" t="s">
        <v>524</v>
      </c>
      <c r="G178" s="405" t="s">
        <v>524</v>
      </c>
      <c r="I178" s="405" t="s">
        <v>524</v>
      </c>
    </row>
    <row r="179" spans="5:9" x14ac:dyDescent="0.35">
      <c r="E179" t="s">
        <v>524</v>
      </c>
      <c r="G179" s="405" t="s">
        <v>524</v>
      </c>
      <c r="I179" s="405" t="s">
        <v>524</v>
      </c>
    </row>
    <row r="180" spans="5:9" x14ac:dyDescent="0.35">
      <c r="E180" t="s">
        <v>524</v>
      </c>
      <c r="G180" s="405" t="s">
        <v>524</v>
      </c>
      <c r="I180" s="405" t="s">
        <v>524</v>
      </c>
    </row>
    <row r="181" spans="5:9" x14ac:dyDescent="0.35">
      <c r="E181" t="s">
        <v>524</v>
      </c>
      <c r="G181" s="405" t="s">
        <v>524</v>
      </c>
      <c r="I181" s="405" t="s">
        <v>524</v>
      </c>
    </row>
    <row r="182" spans="5:9" x14ac:dyDescent="0.35">
      <c r="E182" t="s">
        <v>524</v>
      </c>
      <c r="G182" s="405" t="s">
        <v>524</v>
      </c>
      <c r="I182" s="405" t="s">
        <v>524</v>
      </c>
    </row>
    <row r="183" spans="5:9" x14ac:dyDescent="0.35">
      <c r="E183" t="s">
        <v>524</v>
      </c>
      <c r="G183" s="405" t="s">
        <v>524</v>
      </c>
      <c r="I183" s="405" t="s">
        <v>524</v>
      </c>
    </row>
    <row r="184" spans="5:9" x14ac:dyDescent="0.35">
      <c r="E184" t="s">
        <v>524</v>
      </c>
      <c r="G184" s="405" t="s">
        <v>524</v>
      </c>
      <c r="I184" s="405" t="s">
        <v>524</v>
      </c>
    </row>
    <row r="185" spans="5:9" x14ac:dyDescent="0.35">
      <c r="E185" t="s">
        <v>524</v>
      </c>
      <c r="G185" s="405" t="s">
        <v>524</v>
      </c>
      <c r="I185" s="405" t="s">
        <v>524</v>
      </c>
    </row>
    <row r="186" spans="5:9" x14ac:dyDescent="0.35">
      <c r="E186" t="s">
        <v>524</v>
      </c>
      <c r="G186" s="405" t="s">
        <v>524</v>
      </c>
      <c r="I186" s="405" t="s">
        <v>524</v>
      </c>
    </row>
    <row r="187" spans="5:9" x14ac:dyDescent="0.35">
      <c r="E187" t="s">
        <v>524</v>
      </c>
      <c r="G187" s="405" t="s">
        <v>524</v>
      </c>
      <c r="I187" s="405" t="s">
        <v>524</v>
      </c>
    </row>
    <row r="188" spans="5:9" x14ac:dyDescent="0.35">
      <c r="E188" t="s">
        <v>524</v>
      </c>
      <c r="G188" s="405" t="s">
        <v>524</v>
      </c>
      <c r="I188" s="405" t="s">
        <v>524</v>
      </c>
    </row>
    <row r="189" spans="5:9" x14ac:dyDescent="0.35">
      <c r="E189" t="s">
        <v>524</v>
      </c>
      <c r="G189" s="405" t="s">
        <v>524</v>
      </c>
      <c r="I189" s="405" t="s">
        <v>524</v>
      </c>
    </row>
    <row r="190" spans="5:9" x14ac:dyDescent="0.35">
      <c r="E190" t="s">
        <v>524</v>
      </c>
      <c r="G190" s="405" t="s">
        <v>524</v>
      </c>
      <c r="I190" s="405" t="s">
        <v>524</v>
      </c>
    </row>
    <row r="191" spans="5:9" x14ac:dyDescent="0.35">
      <c r="E191" t="s">
        <v>524</v>
      </c>
      <c r="G191" s="405" t="s">
        <v>524</v>
      </c>
      <c r="I191" s="405" t="s">
        <v>524</v>
      </c>
    </row>
    <row r="192" spans="5:9" x14ac:dyDescent="0.35">
      <c r="E192" t="s">
        <v>524</v>
      </c>
      <c r="G192" s="405" t="s">
        <v>524</v>
      </c>
      <c r="I192" s="405" t="s">
        <v>524</v>
      </c>
    </row>
    <row r="193" spans="5:9" x14ac:dyDescent="0.35">
      <c r="E193" t="s">
        <v>524</v>
      </c>
      <c r="G193" s="405" t="s">
        <v>524</v>
      </c>
      <c r="I193" s="405" t="s">
        <v>524</v>
      </c>
    </row>
    <row r="194" spans="5:9" x14ac:dyDescent="0.35">
      <c r="E194" t="s">
        <v>524</v>
      </c>
      <c r="G194" s="405" t="s">
        <v>524</v>
      </c>
      <c r="I194" s="405" t="s">
        <v>524</v>
      </c>
    </row>
    <row r="195" spans="5:9" x14ac:dyDescent="0.35">
      <c r="E195" t="s">
        <v>524</v>
      </c>
      <c r="G195" s="405" t="s">
        <v>524</v>
      </c>
      <c r="I195" s="405" t="s">
        <v>524</v>
      </c>
    </row>
    <row r="196" spans="5:9" x14ac:dyDescent="0.35">
      <c r="E196" t="s">
        <v>524</v>
      </c>
      <c r="G196" s="405" t="s">
        <v>524</v>
      </c>
      <c r="I196" s="405" t="s">
        <v>524</v>
      </c>
    </row>
    <row r="197" spans="5:9" x14ac:dyDescent="0.35">
      <c r="E197" t="s">
        <v>524</v>
      </c>
      <c r="G197" s="405" t="s">
        <v>524</v>
      </c>
      <c r="I197" s="405" t="s">
        <v>524</v>
      </c>
    </row>
    <row r="198" spans="5:9" x14ac:dyDescent="0.35">
      <c r="E198" t="s">
        <v>524</v>
      </c>
      <c r="G198" s="405" t="s">
        <v>524</v>
      </c>
      <c r="I198" s="405" t="s">
        <v>524</v>
      </c>
    </row>
    <row r="199" spans="5:9" x14ac:dyDescent="0.35">
      <c r="E199" t="s">
        <v>524</v>
      </c>
      <c r="G199" s="405" t="s">
        <v>524</v>
      </c>
      <c r="I199" s="405" t="s">
        <v>524</v>
      </c>
    </row>
    <row r="200" spans="5:9" x14ac:dyDescent="0.35">
      <c r="E200" t="s">
        <v>524</v>
      </c>
      <c r="G200" s="405" t="s">
        <v>524</v>
      </c>
      <c r="I200" s="405" t="s">
        <v>524</v>
      </c>
    </row>
    <row r="201" spans="5:9" x14ac:dyDescent="0.35">
      <c r="E201" t="s">
        <v>524</v>
      </c>
      <c r="G201" s="405" t="s">
        <v>524</v>
      </c>
      <c r="I201" s="405" t="s">
        <v>524</v>
      </c>
    </row>
    <row r="202" spans="5:9" x14ac:dyDescent="0.35">
      <c r="E202" t="s">
        <v>524</v>
      </c>
      <c r="G202" s="405" t="s">
        <v>524</v>
      </c>
      <c r="I202" s="405" t="s">
        <v>524</v>
      </c>
    </row>
    <row r="203" spans="5:9" x14ac:dyDescent="0.35">
      <c r="E203" t="s">
        <v>524</v>
      </c>
      <c r="G203" s="405" t="s">
        <v>524</v>
      </c>
      <c r="I203" s="405" t="s">
        <v>524</v>
      </c>
    </row>
    <row r="204" spans="5:9" x14ac:dyDescent="0.35">
      <c r="E204" t="s">
        <v>524</v>
      </c>
      <c r="G204" s="405" t="s">
        <v>524</v>
      </c>
      <c r="I204" s="405" t="s">
        <v>524</v>
      </c>
    </row>
    <row r="205" spans="5:9" x14ac:dyDescent="0.35">
      <c r="E205" t="s">
        <v>524</v>
      </c>
      <c r="G205" s="405" t="s">
        <v>524</v>
      </c>
      <c r="I205" s="405" t="s">
        <v>524</v>
      </c>
    </row>
    <row r="206" spans="5:9" x14ac:dyDescent="0.35">
      <c r="E206" t="s">
        <v>524</v>
      </c>
      <c r="G206" s="405" t="s">
        <v>524</v>
      </c>
      <c r="I206" s="405" t="s">
        <v>524</v>
      </c>
    </row>
    <row r="207" spans="5:9" x14ac:dyDescent="0.35">
      <c r="E207" t="s">
        <v>524</v>
      </c>
      <c r="G207" s="405" t="s">
        <v>524</v>
      </c>
      <c r="I207" s="405" t="s">
        <v>524</v>
      </c>
    </row>
    <row r="208" spans="5:9" x14ac:dyDescent="0.35">
      <c r="E208" t="s">
        <v>524</v>
      </c>
      <c r="G208" s="405" t="s">
        <v>524</v>
      </c>
      <c r="I208" s="405" t="s">
        <v>524</v>
      </c>
    </row>
    <row r="209" spans="5:9" x14ac:dyDescent="0.35">
      <c r="E209" t="s">
        <v>524</v>
      </c>
      <c r="G209" s="405" t="s">
        <v>524</v>
      </c>
      <c r="I209" s="405" t="s">
        <v>524</v>
      </c>
    </row>
    <row r="210" spans="5:9" x14ac:dyDescent="0.35">
      <c r="E210" t="s">
        <v>524</v>
      </c>
      <c r="G210" s="405" t="s">
        <v>524</v>
      </c>
      <c r="I210" s="405" t="s">
        <v>524</v>
      </c>
    </row>
    <row r="211" spans="5:9" x14ac:dyDescent="0.35">
      <c r="E211" t="s">
        <v>524</v>
      </c>
      <c r="G211" s="405" t="s">
        <v>524</v>
      </c>
      <c r="I211" s="405" t="s">
        <v>524</v>
      </c>
    </row>
    <row r="212" spans="5:9" x14ac:dyDescent="0.35">
      <c r="E212" t="s">
        <v>524</v>
      </c>
      <c r="G212" s="405" t="s">
        <v>524</v>
      </c>
      <c r="I212" s="405" t="s">
        <v>524</v>
      </c>
    </row>
    <row r="213" spans="5:9" x14ac:dyDescent="0.35">
      <c r="E213" t="s">
        <v>524</v>
      </c>
      <c r="G213" s="405" t="s">
        <v>524</v>
      </c>
      <c r="I213" s="405" t="s">
        <v>524</v>
      </c>
    </row>
    <row r="214" spans="5:9" x14ac:dyDescent="0.35">
      <c r="E214" t="s">
        <v>524</v>
      </c>
      <c r="G214" s="405" t="s">
        <v>524</v>
      </c>
      <c r="I214" s="405" t="s">
        <v>524</v>
      </c>
    </row>
    <row r="215" spans="5:9" x14ac:dyDescent="0.35">
      <c r="E215" t="s">
        <v>524</v>
      </c>
      <c r="G215" s="405" t="s">
        <v>524</v>
      </c>
      <c r="I215" s="405" t="s">
        <v>524</v>
      </c>
    </row>
    <row r="216" spans="5:9" x14ac:dyDescent="0.35">
      <c r="E216" t="s">
        <v>524</v>
      </c>
      <c r="G216" s="405" t="s">
        <v>524</v>
      </c>
      <c r="I216" s="405" t="s">
        <v>524</v>
      </c>
    </row>
    <row r="217" spans="5:9" x14ac:dyDescent="0.35">
      <c r="E217" t="s">
        <v>524</v>
      </c>
      <c r="G217" s="405" t="s">
        <v>524</v>
      </c>
      <c r="I217" s="405" t="s">
        <v>524</v>
      </c>
    </row>
    <row r="218" spans="5:9" x14ac:dyDescent="0.35">
      <c r="E218" t="s">
        <v>524</v>
      </c>
      <c r="G218" s="405" t="s">
        <v>524</v>
      </c>
      <c r="I218" s="405" t="s">
        <v>524</v>
      </c>
    </row>
    <row r="219" spans="5:9" x14ac:dyDescent="0.35">
      <c r="E219" t="s">
        <v>524</v>
      </c>
      <c r="G219" s="405" t="s">
        <v>524</v>
      </c>
      <c r="I219" s="405" t="s">
        <v>524</v>
      </c>
    </row>
    <row r="220" spans="5:9" x14ac:dyDescent="0.35">
      <c r="E220" t="s">
        <v>524</v>
      </c>
      <c r="G220" s="405" t="s">
        <v>524</v>
      </c>
      <c r="I220" s="405" t="s">
        <v>524</v>
      </c>
    </row>
    <row r="221" spans="5:9" x14ac:dyDescent="0.35">
      <c r="E221" t="s">
        <v>524</v>
      </c>
      <c r="G221" s="405" t="s">
        <v>524</v>
      </c>
      <c r="I221" s="405" t="s">
        <v>524</v>
      </c>
    </row>
    <row r="222" spans="5:9" x14ac:dyDescent="0.35">
      <c r="E222" t="s">
        <v>524</v>
      </c>
      <c r="G222" s="405" t="s">
        <v>524</v>
      </c>
      <c r="I222" s="405" t="s">
        <v>524</v>
      </c>
    </row>
    <row r="223" spans="5:9" x14ac:dyDescent="0.35">
      <c r="E223" t="s">
        <v>524</v>
      </c>
      <c r="G223" s="405" t="s">
        <v>524</v>
      </c>
      <c r="I223" s="405" t="s">
        <v>524</v>
      </c>
    </row>
    <row r="224" spans="5:9" x14ac:dyDescent="0.35">
      <c r="E224" t="s">
        <v>524</v>
      </c>
      <c r="G224" s="405" t="s">
        <v>524</v>
      </c>
      <c r="I224" s="405" t="s">
        <v>524</v>
      </c>
    </row>
    <row r="225" spans="5:9" x14ac:dyDescent="0.35">
      <c r="E225" t="s">
        <v>524</v>
      </c>
      <c r="G225" s="405" t="s">
        <v>524</v>
      </c>
      <c r="I225" s="405" t="s">
        <v>524</v>
      </c>
    </row>
    <row r="226" spans="5:9" x14ac:dyDescent="0.35">
      <c r="E226" t="s">
        <v>524</v>
      </c>
      <c r="G226" s="405" t="s">
        <v>524</v>
      </c>
      <c r="I226" s="405" t="s">
        <v>524</v>
      </c>
    </row>
    <row r="227" spans="5:9" x14ac:dyDescent="0.35">
      <c r="E227" t="s">
        <v>524</v>
      </c>
      <c r="G227" s="405" t="s">
        <v>524</v>
      </c>
      <c r="I227" s="405" t="s">
        <v>524</v>
      </c>
    </row>
    <row r="228" spans="5:9" x14ac:dyDescent="0.35">
      <c r="E228" t="s">
        <v>524</v>
      </c>
      <c r="G228" s="405" t="s">
        <v>524</v>
      </c>
      <c r="I228" s="405" t="s">
        <v>524</v>
      </c>
    </row>
    <row r="229" spans="5:9" x14ac:dyDescent="0.35">
      <c r="E229" t="s">
        <v>524</v>
      </c>
      <c r="G229" s="405" t="s">
        <v>524</v>
      </c>
      <c r="I229" s="405" t="s">
        <v>524</v>
      </c>
    </row>
    <row r="230" spans="5:9" x14ac:dyDescent="0.35">
      <c r="E230" t="s">
        <v>524</v>
      </c>
      <c r="G230" s="405" t="s">
        <v>524</v>
      </c>
      <c r="I230" s="405" t="s">
        <v>524</v>
      </c>
    </row>
    <row r="231" spans="5:9" x14ac:dyDescent="0.35">
      <c r="E231" t="s">
        <v>524</v>
      </c>
      <c r="G231" s="405" t="s">
        <v>524</v>
      </c>
      <c r="I231" s="405" t="s">
        <v>524</v>
      </c>
    </row>
    <row r="232" spans="5:9" x14ac:dyDescent="0.35">
      <c r="E232" t="s">
        <v>524</v>
      </c>
      <c r="G232" s="405" t="s">
        <v>524</v>
      </c>
      <c r="I232" s="405" t="s">
        <v>524</v>
      </c>
    </row>
    <row r="233" spans="5:9" x14ac:dyDescent="0.35">
      <c r="E233" t="s">
        <v>524</v>
      </c>
      <c r="G233" s="405" t="s">
        <v>524</v>
      </c>
      <c r="I233" s="405" t="s">
        <v>524</v>
      </c>
    </row>
    <row r="234" spans="5:9" x14ac:dyDescent="0.35">
      <c r="E234" t="s">
        <v>524</v>
      </c>
      <c r="G234" s="405" t="s">
        <v>524</v>
      </c>
      <c r="I234" s="405" t="s">
        <v>524</v>
      </c>
    </row>
    <row r="235" spans="5:9" x14ac:dyDescent="0.35">
      <c r="E235" t="s">
        <v>524</v>
      </c>
      <c r="G235" s="405" t="s">
        <v>524</v>
      </c>
      <c r="I235" s="405" t="s">
        <v>524</v>
      </c>
    </row>
    <row r="236" spans="5:9" x14ac:dyDescent="0.35">
      <c r="E236" t="s">
        <v>524</v>
      </c>
      <c r="G236" s="405" t="s">
        <v>524</v>
      </c>
      <c r="I236" s="405" t="s">
        <v>524</v>
      </c>
    </row>
    <row r="237" spans="5:9" x14ac:dyDescent="0.35">
      <c r="E237" t="s">
        <v>524</v>
      </c>
      <c r="G237" s="405" t="s">
        <v>524</v>
      </c>
      <c r="I237" s="405" t="s">
        <v>524</v>
      </c>
    </row>
    <row r="238" spans="5:9" x14ac:dyDescent="0.35">
      <c r="E238" t="s">
        <v>524</v>
      </c>
      <c r="G238" s="405" t="s">
        <v>524</v>
      </c>
      <c r="I238" s="405" t="s">
        <v>524</v>
      </c>
    </row>
    <row r="239" spans="5:9" x14ac:dyDescent="0.35">
      <c r="E239" t="s">
        <v>524</v>
      </c>
      <c r="G239" s="405" t="s">
        <v>524</v>
      </c>
      <c r="I239" s="405" t="s">
        <v>524</v>
      </c>
    </row>
    <row r="240" spans="5:9" x14ac:dyDescent="0.35">
      <c r="E240" t="s">
        <v>524</v>
      </c>
      <c r="G240" s="405" t="s">
        <v>524</v>
      </c>
      <c r="I240" s="405" t="s">
        <v>524</v>
      </c>
    </row>
    <row r="241" spans="5:9" x14ac:dyDescent="0.35">
      <c r="E241" t="s">
        <v>524</v>
      </c>
      <c r="G241" s="405" t="s">
        <v>524</v>
      </c>
      <c r="I241" s="405" t="s">
        <v>524</v>
      </c>
    </row>
    <row r="242" spans="5:9" x14ac:dyDescent="0.35">
      <c r="E242" t="s">
        <v>524</v>
      </c>
      <c r="G242" s="405" t="s">
        <v>524</v>
      </c>
      <c r="I242" s="405" t="s">
        <v>524</v>
      </c>
    </row>
    <row r="243" spans="5:9" x14ac:dyDescent="0.35">
      <c r="E243" t="s">
        <v>524</v>
      </c>
      <c r="G243" s="405" t="s">
        <v>524</v>
      </c>
      <c r="I243" s="405" t="s">
        <v>524</v>
      </c>
    </row>
    <row r="244" spans="5:9" x14ac:dyDescent="0.35">
      <c r="E244" t="s">
        <v>524</v>
      </c>
      <c r="G244" s="405" t="s">
        <v>524</v>
      </c>
      <c r="I244" s="405" t="s">
        <v>524</v>
      </c>
    </row>
    <row r="245" spans="5:9" x14ac:dyDescent="0.35">
      <c r="E245" t="s">
        <v>524</v>
      </c>
      <c r="G245" s="405" t="s">
        <v>524</v>
      </c>
      <c r="I245" s="405" t="s">
        <v>524</v>
      </c>
    </row>
    <row r="246" spans="5:9" x14ac:dyDescent="0.35">
      <c r="E246" t="s">
        <v>524</v>
      </c>
      <c r="G246" s="405" t="s">
        <v>524</v>
      </c>
      <c r="I246" s="405" t="s">
        <v>524</v>
      </c>
    </row>
    <row r="247" spans="5:9" x14ac:dyDescent="0.35">
      <c r="E247" t="s">
        <v>524</v>
      </c>
      <c r="G247" s="405" t="s">
        <v>524</v>
      </c>
      <c r="I247" s="405" t="s">
        <v>524</v>
      </c>
    </row>
    <row r="248" spans="5:9" x14ac:dyDescent="0.35">
      <c r="E248" t="s">
        <v>524</v>
      </c>
      <c r="G248" s="405" t="s">
        <v>524</v>
      </c>
      <c r="I248" s="405" t="s">
        <v>524</v>
      </c>
    </row>
    <row r="249" spans="5:9" x14ac:dyDescent="0.35">
      <c r="E249" t="s">
        <v>524</v>
      </c>
      <c r="G249" s="405" t="s">
        <v>524</v>
      </c>
      <c r="I249" s="405" t="s">
        <v>524</v>
      </c>
    </row>
    <row r="250" spans="5:9" x14ac:dyDescent="0.35">
      <c r="E250" t="s">
        <v>524</v>
      </c>
      <c r="G250" s="405" t="s">
        <v>524</v>
      </c>
      <c r="I250" s="405" t="s">
        <v>524</v>
      </c>
    </row>
    <row r="251" spans="5:9" x14ac:dyDescent="0.35">
      <c r="E251" t="s">
        <v>524</v>
      </c>
      <c r="G251" s="405" t="s">
        <v>524</v>
      </c>
      <c r="I251" s="405" t="s">
        <v>524</v>
      </c>
    </row>
    <row r="252" spans="5:9" x14ac:dyDescent="0.35">
      <c r="E252" t="s">
        <v>524</v>
      </c>
      <c r="G252" s="405" t="s">
        <v>524</v>
      </c>
      <c r="I252" s="405" t="s">
        <v>524</v>
      </c>
    </row>
    <row r="253" spans="5:9" x14ac:dyDescent="0.35">
      <c r="E253" t="s">
        <v>524</v>
      </c>
      <c r="G253" s="405" t="s">
        <v>524</v>
      </c>
      <c r="I253" s="405" t="s">
        <v>524</v>
      </c>
    </row>
    <row r="254" spans="5:9" x14ac:dyDescent="0.35">
      <c r="E254" t="s">
        <v>524</v>
      </c>
      <c r="G254" s="405" t="s">
        <v>524</v>
      </c>
      <c r="I254" s="405" t="s">
        <v>524</v>
      </c>
    </row>
    <row r="255" spans="5:9" x14ac:dyDescent="0.35">
      <c r="E255" t="s">
        <v>524</v>
      </c>
      <c r="G255" s="405" t="s">
        <v>524</v>
      </c>
      <c r="I255" s="405" t="s">
        <v>524</v>
      </c>
    </row>
    <row r="256" spans="5:9" x14ac:dyDescent="0.35">
      <c r="E256" t="s">
        <v>524</v>
      </c>
      <c r="G256" s="405" t="s">
        <v>524</v>
      </c>
      <c r="I256" s="405" t="s">
        <v>524</v>
      </c>
    </row>
    <row r="257" spans="5:9" x14ac:dyDescent="0.35">
      <c r="E257" t="s">
        <v>524</v>
      </c>
      <c r="G257" s="405" t="s">
        <v>524</v>
      </c>
      <c r="I257" s="405" t="s">
        <v>524</v>
      </c>
    </row>
    <row r="258" spans="5:9" x14ac:dyDescent="0.35">
      <c r="E258" t="s">
        <v>524</v>
      </c>
      <c r="G258" s="405" t="s">
        <v>524</v>
      </c>
      <c r="I258" s="405" t="s">
        <v>524</v>
      </c>
    </row>
    <row r="259" spans="5:9" x14ac:dyDescent="0.35">
      <c r="E259" t="s">
        <v>524</v>
      </c>
      <c r="G259" s="405" t="s">
        <v>524</v>
      </c>
      <c r="I259" s="405" t="s">
        <v>524</v>
      </c>
    </row>
    <row r="260" spans="5:9" x14ac:dyDescent="0.35">
      <c r="E260" t="s">
        <v>524</v>
      </c>
      <c r="G260" s="405" t="s">
        <v>524</v>
      </c>
      <c r="I260" s="405" t="s">
        <v>524</v>
      </c>
    </row>
    <row r="261" spans="5:9" x14ac:dyDescent="0.35">
      <c r="E261" t="s">
        <v>524</v>
      </c>
      <c r="G261" s="405" t="s">
        <v>524</v>
      </c>
      <c r="I261" s="405" t="s">
        <v>524</v>
      </c>
    </row>
    <row r="262" spans="5:9" x14ac:dyDescent="0.35">
      <c r="E262" t="s">
        <v>524</v>
      </c>
      <c r="G262" s="405" t="s">
        <v>524</v>
      </c>
      <c r="I262" s="405" t="s">
        <v>524</v>
      </c>
    </row>
    <row r="263" spans="5:9" x14ac:dyDescent="0.35">
      <c r="E263" t="s">
        <v>524</v>
      </c>
      <c r="G263" s="405" t="s">
        <v>524</v>
      </c>
      <c r="I263" s="405" t="s">
        <v>524</v>
      </c>
    </row>
    <row r="264" spans="5:9" x14ac:dyDescent="0.35">
      <c r="E264" t="s">
        <v>524</v>
      </c>
      <c r="G264" s="405" t="s">
        <v>524</v>
      </c>
      <c r="I264" s="405" t="s">
        <v>524</v>
      </c>
    </row>
    <row r="265" spans="5:9" x14ac:dyDescent="0.35">
      <c r="E265" t="s">
        <v>524</v>
      </c>
      <c r="G265" s="405" t="s">
        <v>524</v>
      </c>
      <c r="I265" s="405" t="s">
        <v>524</v>
      </c>
    </row>
    <row r="266" spans="5:9" x14ac:dyDescent="0.35">
      <c r="E266" t="s">
        <v>524</v>
      </c>
      <c r="G266" s="405" t="s">
        <v>524</v>
      </c>
      <c r="I266" s="405" t="s">
        <v>524</v>
      </c>
    </row>
    <row r="267" spans="5:9" x14ac:dyDescent="0.35">
      <c r="E267" t="s">
        <v>524</v>
      </c>
      <c r="G267" s="405" t="s">
        <v>524</v>
      </c>
      <c r="I267" s="405" t="s">
        <v>524</v>
      </c>
    </row>
    <row r="268" spans="5:9" x14ac:dyDescent="0.35">
      <c r="E268" t="s">
        <v>524</v>
      </c>
      <c r="G268" s="405" t="s">
        <v>524</v>
      </c>
      <c r="I268" s="405" t="s">
        <v>524</v>
      </c>
    </row>
    <row r="269" spans="5:9" x14ac:dyDescent="0.35">
      <c r="E269" t="s">
        <v>524</v>
      </c>
      <c r="G269" s="405" t="s">
        <v>524</v>
      </c>
      <c r="I269" s="405" t="s">
        <v>524</v>
      </c>
    </row>
    <row r="270" spans="5:9" x14ac:dyDescent="0.35">
      <c r="E270" t="s">
        <v>524</v>
      </c>
      <c r="G270" s="405" t="s">
        <v>524</v>
      </c>
      <c r="I270" s="405" t="s">
        <v>524</v>
      </c>
    </row>
    <row r="271" spans="5:9" x14ac:dyDescent="0.35">
      <c r="E271" t="s">
        <v>524</v>
      </c>
      <c r="G271" s="405" t="s">
        <v>524</v>
      </c>
      <c r="I271" s="405" t="s">
        <v>524</v>
      </c>
    </row>
    <row r="272" spans="5:9" x14ac:dyDescent="0.35">
      <c r="E272" t="s">
        <v>524</v>
      </c>
      <c r="G272" s="405" t="s">
        <v>524</v>
      </c>
      <c r="I272" s="405" t="s">
        <v>524</v>
      </c>
    </row>
    <row r="273" spans="5:9" x14ac:dyDescent="0.35">
      <c r="E273" t="s">
        <v>524</v>
      </c>
      <c r="G273" s="405" t="s">
        <v>524</v>
      </c>
      <c r="I273" s="405" t="s">
        <v>524</v>
      </c>
    </row>
    <row r="274" spans="5:9" x14ac:dyDescent="0.35">
      <c r="E274" t="s">
        <v>524</v>
      </c>
      <c r="G274" s="405" t="s">
        <v>524</v>
      </c>
      <c r="I274" s="405" t="s">
        <v>524</v>
      </c>
    </row>
    <row r="275" spans="5:9" x14ac:dyDescent="0.35">
      <c r="E275" t="s">
        <v>524</v>
      </c>
      <c r="G275" s="405" t="s">
        <v>524</v>
      </c>
      <c r="I275" s="405" t="s">
        <v>524</v>
      </c>
    </row>
    <row r="276" spans="5:9" x14ac:dyDescent="0.35">
      <c r="E276" t="s">
        <v>524</v>
      </c>
      <c r="G276" s="405" t="s">
        <v>524</v>
      </c>
      <c r="I276" s="405" t="s">
        <v>524</v>
      </c>
    </row>
    <row r="277" spans="5:9" x14ac:dyDescent="0.35">
      <c r="E277" t="s">
        <v>524</v>
      </c>
      <c r="G277" s="405" t="s">
        <v>524</v>
      </c>
      <c r="I277" s="405" t="s">
        <v>524</v>
      </c>
    </row>
    <row r="278" spans="5:9" x14ac:dyDescent="0.35">
      <c r="E278" t="s">
        <v>524</v>
      </c>
      <c r="G278" s="405" t="s">
        <v>524</v>
      </c>
      <c r="I278" s="405" t="s">
        <v>524</v>
      </c>
    </row>
    <row r="279" spans="5:9" x14ac:dyDescent="0.35">
      <c r="E279" t="s">
        <v>524</v>
      </c>
      <c r="G279" s="405" t="s">
        <v>524</v>
      </c>
      <c r="I279" s="405" t="s">
        <v>524</v>
      </c>
    </row>
    <row r="280" spans="5:9" x14ac:dyDescent="0.35">
      <c r="E280" t="s">
        <v>524</v>
      </c>
      <c r="G280" s="405" t="s">
        <v>524</v>
      </c>
      <c r="I280" s="405" t="s">
        <v>524</v>
      </c>
    </row>
    <row r="281" spans="5:9" x14ac:dyDescent="0.35">
      <c r="E281" t="s">
        <v>524</v>
      </c>
      <c r="G281" s="405" t="s">
        <v>524</v>
      </c>
      <c r="I281" s="405" t="s">
        <v>524</v>
      </c>
    </row>
    <row r="282" spans="5:9" x14ac:dyDescent="0.35">
      <c r="E282" t="s">
        <v>524</v>
      </c>
      <c r="G282" s="405" t="s">
        <v>524</v>
      </c>
      <c r="I282" s="405" t="s">
        <v>524</v>
      </c>
    </row>
    <row r="283" spans="5:9" x14ac:dyDescent="0.35">
      <c r="E283" t="s">
        <v>524</v>
      </c>
      <c r="G283" s="405" t="s">
        <v>524</v>
      </c>
      <c r="I283" s="405" t="s">
        <v>524</v>
      </c>
    </row>
    <row r="284" spans="5:9" x14ac:dyDescent="0.35">
      <c r="E284" t="s">
        <v>524</v>
      </c>
      <c r="G284" s="405" t="s">
        <v>524</v>
      </c>
      <c r="I284" s="405" t="s">
        <v>524</v>
      </c>
    </row>
    <row r="285" spans="5:9" x14ac:dyDescent="0.35">
      <c r="E285" t="s">
        <v>524</v>
      </c>
      <c r="G285" s="405" t="s">
        <v>524</v>
      </c>
      <c r="I285" s="405" t="s">
        <v>524</v>
      </c>
    </row>
    <row r="286" spans="5:9" x14ac:dyDescent="0.35">
      <c r="E286" t="s">
        <v>524</v>
      </c>
      <c r="G286" s="405" t="s">
        <v>524</v>
      </c>
      <c r="I286" s="405" t="s">
        <v>524</v>
      </c>
    </row>
    <row r="287" spans="5:9" x14ac:dyDescent="0.35">
      <c r="E287" t="s">
        <v>524</v>
      </c>
      <c r="G287" s="405" t="s">
        <v>524</v>
      </c>
      <c r="I287" s="405" t="s">
        <v>524</v>
      </c>
    </row>
    <row r="288" spans="5:9" x14ac:dyDescent="0.35">
      <c r="E288" t="s">
        <v>524</v>
      </c>
      <c r="G288" s="405" t="s">
        <v>524</v>
      </c>
      <c r="I288" s="405" t="s">
        <v>524</v>
      </c>
    </row>
    <row r="289" spans="5:9" x14ac:dyDescent="0.35">
      <c r="E289" t="s">
        <v>524</v>
      </c>
      <c r="G289" s="405" t="s">
        <v>524</v>
      </c>
      <c r="I289" s="405" t="s">
        <v>524</v>
      </c>
    </row>
    <row r="290" spans="5:9" x14ac:dyDescent="0.35">
      <c r="E290" t="s">
        <v>524</v>
      </c>
      <c r="G290" s="405" t="s">
        <v>524</v>
      </c>
      <c r="I290" s="405" t="s">
        <v>524</v>
      </c>
    </row>
    <row r="291" spans="5:9" x14ac:dyDescent="0.35">
      <c r="E291" t="s">
        <v>524</v>
      </c>
      <c r="G291" s="405" t="s">
        <v>524</v>
      </c>
      <c r="I291" s="405" t="s">
        <v>524</v>
      </c>
    </row>
    <row r="292" spans="5:9" x14ac:dyDescent="0.35">
      <c r="E292" t="s">
        <v>524</v>
      </c>
      <c r="G292" s="405" t="s">
        <v>524</v>
      </c>
      <c r="I292" s="405" t="s">
        <v>524</v>
      </c>
    </row>
    <row r="293" spans="5:9" x14ac:dyDescent="0.35">
      <c r="E293" t="s">
        <v>524</v>
      </c>
      <c r="G293" s="405" t="s">
        <v>524</v>
      </c>
      <c r="I293" s="405" t="s">
        <v>524</v>
      </c>
    </row>
    <row r="294" spans="5:9" x14ac:dyDescent="0.35">
      <c r="E294" t="s">
        <v>524</v>
      </c>
      <c r="G294" s="405" t="s">
        <v>524</v>
      </c>
      <c r="I294" s="405" t="s">
        <v>524</v>
      </c>
    </row>
    <row r="295" spans="5:9" x14ac:dyDescent="0.35">
      <c r="E295" t="s">
        <v>524</v>
      </c>
      <c r="G295" s="405" t="s">
        <v>524</v>
      </c>
      <c r="I295" s="405" t="s">
        <v>524</v>
      </c>
    </row>
    <row r="296" spans="5:9" x14ac:dyDescent="0.35">
      <c r="E296" t="s">
        <v>524</v>
      </c>
      <c r="G296" s="405" t="s">
        <v>524</v>
      </c>
      <c r="I296" s="405" t="s">
        <v>524</v>
      </c>
    </row>
    <row r="297" spans="5:9" x14ac:dyDescent="0.35">
      <c r="E297" t="s">
        <v>524</v>
      </c>
      <c r="G297" s="405" t="s">
        <v>524</v>
      </c>
      <c r="I297" s="405" t="s">
        <v>524</v>
      </c>
    </row>
    <row r="298" spans="5:9" x14ac:dyDescent="0.35">
      <c r="E298" t="s">
        <v>524</v>
      </c>
      <c r="G298" s="405" t="s">
        <v>524</v>
      </c>
      <c r="I298" s="405" t="s">
        <v>524</v>
      </c>
    </row>
    <row r="299" spans="5:9" x14ac:dyDescent="0.35">
      <c r="E299" t="s">
        <v>524</v>
      </c>
      <c r="G299" s="405" t="s">
        <v>524</v>
      </c>
      <c r="I299" s="405" t="s">
        <v>524</v>
      </c>
    </row>
    <row r="300" spans="5:9" x14ac:dyDescent="0.35">
      <c r="E300" t="s">
        <v>524</v>
      </c>
      <c r="G300" s="405" t="s">
        <v>524</v>
      </c>
      <c r="I300" s="405" t="s">
        <v>524</v>
      </c>
    </row>
  </sheetData>
  <mergeCells count="1">
    <mergeCell ref="A3:A6"/>
  </mergeCells>
  <conditionalFormatting sqref="E12:E80">
    <cfRule type="expression" dxfId="2" priority="4">
      <formula>AND(LEN(E12)&gt;0,OR(E12&lt;E$2,E12&gt;E$3))</formula>
    </cfRule>
  </conditionalFormatting>
  <conditionalFormatting sqref="G12:G300">
    <cfRule type="expression" dxfId="1" priority="1">
      <formula>AND(LEN(G12)&gt;0,OR(G12&lt;G$2,G12&gt;G$3))</formula>
    </cfRule>
  </conditionalFormatting>
  <conditionalFormatting sqref="I12:I300">
    <cfRule type="expression" dxfId="0" priority="2">
      <formula>AND(LEN(I12)&gt;0,OR(I12&lt;I$2,I12&gt;I$3))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L59"/>
  <sheetViews>
    <sheetView topLeftCell="A8" zoomScale="90" zoomScaleNormal="90" workbookViewId="0">
      <selection activeCell="F17" sqref="F17:F18"/>
    </sheetView>
  </sheetViews>
  <sheetFormatPr defaultColWidth="9.1796875" defaultRowHeight="13" x14ac:dyDescent="0.3"/>
  <cols>
    <col min="1" max="1" width="5.453125" style="516" customWidth="1"/>
    <col min="2" max="2" width="41.26953125" style="516" customWidth="1"/>
    <col min="3" max="3" width="17.1796875" style="516" customWidth="1"/>
    <col min="4" max="4" width="45.453125" style="516" customWidth="1"/>
    <col min="5" max="5" width="31.1796875" style="517" customWidth="1"/>
    <col min="6" max="6" width="33.453125" style="517" customWidth="1"/>
    <col min="7" max="7" width="4.26953125" style="516" customWidth="1"/>
    <col min="8" max="8" width="3.26953125" style="516" customWidth="1"/>
    <col min="9" max="9" width="17.26953125" style="516" customWidth="1"/>
    <col min="10" max="10" width="12" style="518" customWidth="1"/>
    <col min="11" max="11" width="8.453125" style="516" customWidth="1"/>
    <col min="12" max="12" width="9.1796875" style="516"/>
    <col min="13" max="13" width="6.26953125" style="516" customWidth="1"/>
    <col min="14" max="227" width="9.1796875" style="516"/>
    <col min="228" max="228" width="5.453125" style="516" customWidth="1"/>
    <col min="229" max="229" width="58" style="516" customWidth="1"/>
    <col min="230" max="230" width="24.1796875" style="516" customWidth="1"/>
    <col min="231" max="232" width="0" style="516" hidden="1" customWidth="1"/>
    <col min="233" max="233" width="61.453125" style="516" customWidth="1"/>
    <col min="234" max="234" width="62.1796875" style="516" customWidth="1"/>
    <col min="235" max="238" width="0" style="516" hidden="1" customWidth="1"/>
    <col min="239" max="16384" width="9.1796875" style="516"/>
  </cols>
  <sheetData>
    <row r="1" spans="2:12" ht="14.5" x14ac:dyDescent="0.35">
      <c r="B1" s="522"/>
      <c r="C1" s="523" t="s">
        <v>88</v>
      </c>
      <c r="D1" s="522"/>
      <c r="E1" s="524"/>
      <c r="F1" s="524"/>
      <c r="G1" s="522"/>
      <c r="H1" s="522"/>
      <c r="I1" s="523" t="s">
        <v>88</v>
      </c>
      <c r="J1" s="525"/>
      <c r="K1" s="522"/>
      <c r="L1" s="522"/>
    </row>
    <row r="2" spans="2:12" ht="14.5" x14ac:dyDescent="0.35">
      <c r="B2" s="522"/>
      <c r="C2" s="526">
        <v>45047</v>
      </c>
      <c r="D2" s="522"/>
      <c r="E2" s="524"/>
      <c r="F2" s="524"/>
      <c r="G2" s="522"/>
      <c r="H2" s="522"/>
      <c r="I2" s="526">
        <v>44682</v>
      </c>
      <c r="J2" s="525"/>
      <c r="K2" s="522"/>
      <c r="L2" s="522"/>
    </row>
    <row r="3" spans="2:12" ht="14.5" x14ac:dyDescent="0.35">
      <c r="B3" s="527"/>
      <c r="C3" s="528" t="s">
        <v>89</v>
      </c>
      <c r="D3" s="522"/>
      <c r="E3" s="524"/>
      <c r="F3" s="524"/>
      <c r="G3" s="522"/>
      <c r="H3" s="522"/>
      <c r="I3" s="528" t="s">
        <v>89</v>
      </c>
      <c r="J3" s="525"/>
      <c r="K3" s="522"/>
      <c r="L3" s="522"/>
    </row>
    <row r="4" spans="2:12" ht="25" customHeight="1" thickBot="1" x14ac:dyDescent="0.4">
      <c r="B4" s="529" t="s">
        <v>90</v>
      </c>
      <c r="C4" s="530" t="s">
        <v>341</v>
      </c>
      <c r="D4" s="529" t="s">
        <v>91</v>
      </c>
      <c r="E4" s="531" t="s">
        <v>92</v>
      </c>
      <c r="F4" s="531" t="s">
        <v>275</v>
      </c>
      <c r="G4" s="522"/>
      <c r="H4" s="522"/>
      <c r="I4" s="530" t="s">
        <v>341</v>
      </c>
      <c r="J4" s="532" t="s">
        <v>342</v>
      </c>
      <c r="K4" s="522"/>
      <c r="L4" s="522"/>
    </row>
    <row r="5" spans="2:12" ht="40" customHeight="1" thickBot="1" x14ac:dyDescent="0.4">
      <c r="B5" s="533" t="s">
        <v>94</v>
      </c>
      <c r="C5" s="534">
        <f>'[22]DC  CNA  DC III'!I8</f>
        <v>20.792100000000001</v>
      </c>
      <c r="D5" s="873" t="s">
        <v>343</v>
      </c>
      <c r="E5" s="871" t="s">
        <v>95</v>
      </c>
      <c r="F5" s="871" t="s">
        <v>344</v>
      </c>
      <c r="G5" s="535"/>
      <c r="H5" s="535"/>
      <c r="I5" s="536">
        <v>20</v>
      </c>
      <c r="J5" s="537">
        <f t="shared" ref="J5:J34" si="0">C5-I5</f>
        <v>0.79210000000000136</v>
      </c>
      <c r="K5" s="538">
        <f>J5/C5</f>
        <v>3.8096199999038162E-2</v>
      </c>
      <c r="L5" s="522"/>
    </row>
    <row r="6" spans="2:12" ht="15" thickBot="1" x14ac:dyDescent="0.4">
      <c r="B6" s="539" t="s">
        <v>98</v>
      </c>
      <c r="C6" s="540">
        <f>C5*2080</f>
        <v>43247.567999999999</v>
      </c>
      <c r="D6" s="874"/>
      <c r="E6" s="872"/>
      <c r="F6" s="872"/>
      <c r="G6" s="541"/>
      <c r="H6" s="541"/>
      <c r="I6" s="542">
        <v>41600</v>
      </c>
      <c r="J6" s="543">
        <f t="shared" si="0"/>
        <v>1647.5679999999993</v>
      </c>
      <c r="K6" s="538">
        <f t="shared" ref="K6:K34" si="1">J6/C6</f>
        <v>3.8096199999038079E-2</v>
      </c>
      <c r="L6" s="522"/>
    </row>
    <row r="7" spans="2:12" ht="16.5" customHeight="1" thickBot="1" x14ac:dyDescent="0.4">
      <c r="B7" s="544" t="s">
        <v>100</v>
      </c>
      <c r="C7" s="534">
        <f>'[22]DC  CNA  DC III'!I21</f>
        <v>27.027519999999999</v>
      </c>
      <c r="D7" s="535" t="s">
        <v>101</v>
      </c>
      <c r="E7" s="871" t="s">
        <v>102</v>
      </c>
      <c r="F7" s="871" t="s">
        <v>276</v>
      </c>
      <c r="G7" s="535"/>
      <c r="H7" s="535"/>
      <c r="I7" s="536">
        <v>25.580080000000002</v>
      </c>
      <c r="J7" s="537">
        <f t="shared" si="0"/>
        <v>1.4474399999999967</v>
      </c>
      <c r="K7" s="538">
        <f t="shared" si="1"/>
        <v>5.355430316951007E-2</v>
      </c>
      <c r="L7" s="522"/>
    </row>
    <row r="8" spans="2:12" ht="29.5" thickBot="1" x14ac:dyDescent="0.4">
      <c r="B8" s="545" t="s">
        <v>104</v>
      </c>
      <c r="C8" s="546">
        <f>C7*2080</f>
        <v>56217.241600000001</v>
      </c>
      <c r="D8" s="524" t="s">
        <v>345</v>
      </c>
      <c r="E8" s="875"/>
      <c r="F8" s="875"/>
      <c r="G8" s="541"/>
      <c r="H8" s="541"/>
      <c r="I8" s="547">
        <v>53206.566400000003</v>
      </c>
      <c r="J8" s="543">
        <f t="shared" si="0"/>
        <v>3010.6751999999979</v>
      </c>
      <c r="K8" s="538">
        <f t="shared" si="1"/>
        <v>5.3554303169510147E-2</v>
      </c>
      <c r="L8" s="522"/>
    </row>
    <row r="9" spans="2:12" ht="26.15" customHeight="1" thickBot="1" x14ac:dyDescent="0.4">
      <c r="B9" s="544" t="s">
        <v>106</v>
      </c>
      <c r="C9" s="534">
        <f>'[22]DC  CNA  DC III'!I13</f>
        <v>21.417999999999999</v>
      </c>
      <c r="D9" s="535"/>
      <c r="E9" s="871" t="s">
        <v>107</v>
      </c>
      <c r="F9" s="871" t="s">
        <v>346</v>
      </c>
      <c r="G9" s="535"/>
      <c r="H9" s="535"/>
      <c r="I9" s="536">
        <v>20</v>
      </c>
      <c r="J9" s="537">
        <f t="shared" si="0"/>
        <v>1.4179999999999993</v>
      </c>
      <c r="K9" s="538">
        <f t="shared" si="1"/>
        <v>6.6205994957512337E-2</v>
      </c>
      <c r="L9" s="522"/>
    </row>
    <row r="10" spans="2:12" ht="15" thickBot="1" x14ac:dyDescent="0.4">
      <c r="B10" s="548" t="s">
        <v>109</v>
      </c>
      <c r="C10" s="540">
        <f>'[22]DC  CNA  DC III'!J13</f>
        <v>44549.439999999995</v>
      </c>
      <c r="D10" s="541"/>
      <c r="E10" s="872"/>
      <c r="F10" s="872"/>
      <c r="G10" s="522"/>
      <c r="H10" s="522"/>
      <c r="I10" s="542">
        <v>41600</v>
      </c>
      <c r="J10" s="543">
        <f t="shared" si="0"/>
        <v>2949.4399999999951</v>
      </c>
      <c r="K10" s="538">
        <f t="shared" si="1"/>
        <v>6.6205994957512268E-2</v>
      </c>
      <c r="L10" s="522"/>
    </row>
    <row r="11" spans="2:12" ht="15" thickBot="1" x14ac:dyDescent="0.4">
      <c r="B11" s="544" t="s">
        <v>111</v>
      </c>
      <c r="C11" s="534">
        <f>'[22]Case Social Worker.Manager'!J6</f>
        <v>30.979999999999997</v>
      </c>
      <c r="D11" s="535" t="s">
        <v>112</v>
      </c>
      <c r="E11" s="871" t="s">
        <v>113</v>
      </c>
      <c r="F11" s="871" t="s">
        <v>277</v>
      </c>
      <c r="G11" s="544"/>
      <c r="H11" s="535"/>
      <c r="I11" s="536">
        <v>28.180799999999998</v>
      </c>
      <c r="J11" s="537">
        <f t="shared" si="0"/>
        <v>2.799199999999999</v>
      </c>
      <c r="K11" s="538">
        <f t="shared" si="1"/>
        <v>9.0355067785668153E-2</v>
      </c>
      <c r="L11" s="522"/>
    </row>
    <row r="12" spans="2:12" ht="15" thickBot="1" x14ac:dyDescent="0.4">
      <c r="B12" s="545" t="s">
        <v>115</v>
      </c>
      <c r="C12" s="546">
        <f>C11*2080</f>
        <v>64438.399999999994</v>
      </c>
      <c r="D12" s="522" t="s">
        <v>116</v>
      </c>
      <c r="E12" s="875"/>
      <c r="F12" s="875"/>
      <c r="G12" s="548"/>
      <c r="H12" s="541"/>
      <c r="I12" s="547">
        <v>58616.063999999998</v>
      </c>
      <c r="J12" s="537">
        <f t="shared" si="0"/>
        <v>5822.3359999999957</v>
      </c>
      <c r="K12" s="538">
        <f t="shared" si="1"/>
        <v>9.0355067785668111E-2</v>
      </c>
      <c r="L12" s="522"/>
    </row>
    <row r="13" spans="2:12" ht="40.5" customHeight="1" thickBot="1" x14ac:dyDescent="0.4">
      <c r="B13" s="549" t="s">
        <v>118</v>
      </c>
      <c r="C13" s="534">
        <f>'[22]Case Social Worker.Manager'!J13</f>
        <v>33.755499999999998</v>
      </c>
      <c r="D13" s="535" t="s">
        <v>119</v>
      </c>
      <c r="E13" s="871" t="s">
        <v>120</v>
      </c>
      <c r="F13" s="871" t="s">
        <v>278</v>
      </c>
      <c r="G13" s="544"/>
      <c r="H13" s="535"/>
      <c r="I13" s="536">
        <v>30.9283</v>
      </c>
      <c r="J13" s="537">
        <f t="shared" si="0"/>
        <v>2.8271999999999977</v>
      </c>
      <c r="K13" s="538">
        <f t="shared" si="1"/>
        <v>8.3755239886833199E-2</v>
      </c>
      <c r="L13" s="522"/>
    </row>
    <row r="14" spans="2:12" ht="29.5" thickBot="1" x14ac:dyDescent="0.4">
      <c r="B14" s="550" t="s">
        <v>122</v>
      </c>
      <c r="C14" s="540">
        <f>C13*2080</f>
        <v>70211.44</v>
      </c>
      <c r="D14" s="541" t="s">
        <v>123</v>
      </c>
      <c r="E14" s="872"/>
      <c r="F14" s="872"/>
      <c r="G14" s="548"/>
      <c r="H14" s="541"/>
      <c r="I14" s="542">
        <v>64330.864000000001</v>
      </c>
      <c r="J14" s="537">
        <f t="shared" si="0"/>
        <v>5880.5760000000009</v>
      </c>
      <c r="K14" s="538">
        <f t="shared" si="1"/>
        <v>8.3755239886833269E-2</v>
      </c>
      <c r="L14" s="522"/>
    </row>
    <row r="15" spans="2:12" ht="15" thickBot="1" x14ac:dyDescent="0.4">
      <c r="B15" s="544" t="s">
        <v>133</v>
      </c>
      <c r="C15" s="534">
        <f>[22]Nursing!J4</f>
        <v>35.506799999999998</v>
      </c>
      <c r="D15" s="535"/>
      <c r="E15" s="871" t="s">
        <v>134</v>
      </c>
      <c r="F15" s="871" t="s">
        <v>279</v>
      </c>
      <c r="G15" s="522"/>
      <c r="H15" s="522"/>
      <c r="I15" s="536">
        <v>31.575200000000002</v>
      </c>
      <c r="J15" s="537">
        <f t="shared" si="0"/>
        <v>3.931599999999996</v>
      </c>
      <c r="K15" s="538">
        <f t="shared" si="1"/>
        <v>0.1107280858877735</v>
      </c>
      <c r="L15" s="522"/>
    </row>
    <row r="16" spans="2:12" ht="15" thickBot="1" x14ac:dyDescent="0.4">
      <c r="B16" s="548" t="s">
        <v>135</v>
      </c>
      <c r="C16" s="540">
        <f>C15*2080</f>
        <v>73854.144</v>
      </c>
      <c r="D16" s="541" t="s">
        <v>347</v>
      </c>
      <c r="E16" s="872"/>
      <c r="F16" s="872"/>
      <c r="G16" s="522"/>
      <c r="H16" s="522"/>
      <c r="I16" s="542">
        <v>65676.416000000012</v>
      </c>
      <c r="J16" s="537">
        <f t="shared" si="0"/>
        <v>8177.7279999999882</v>
      </c>
      <c r="K16" s="538">
        <f t="shared" si="1"/>
        <v>0.11072808588777346</v>
      </c>
      <c r="L16" s="522"/>
    </row>
    <row r="17" spans="2:12" ht="15" thickBot="1" x14ac:dyDescent="0.4">
      <c r="B17" s="544" t="s">
        <v>124</v>
      </c>
      <c r="C17" s="534">
        <f>[22]Clinical!J8</f>
        <v>40.211399999999998</v>
      </c>
      <c r="D17" s="535" t="s">
        <v>125</v>
      </c>
      <c r="E17" s="871" t="s">
        <v>126</v>
      </c>
      <c r="F17" s="871" t="s">
        <v>280</v>
      </c>
      <c r="G17" s="544"/>
      <c r="H17" s="535"/>
      <c r="I17" s="536">
        <v>38.753100000000003</v>
      </c>
      <c r="J17" s="537">
        <f t="shared" si="0"/>
        <v>1.4582999999999942</v>
      </c>
      <c r="K17" s="538">
        <f t="shared" si="1"/>
        <v>3.6265835061698781E-2</v>
      </c>
      <c r="L17" s="522"/>
    </row>
    <row r="18" spans="2:12" ht="15" thickBot="1" x14ac:dyDescent="0.4">
      <c r="B18" s="548" t="s">
        <v>127</v>
      </c>
      <c r="C18" s="540">
        <f>C17*2080</f>
        <v>83639.712</v>
      </c>
      <c r="D18" s="541"/>
      <c r="E18" s="872"/>
      <c r="F18" s="872"/>
      <c r="G18" s="548"/>
      <c r="H18" s="541"/>
      <c r="I18" s="542">
        <v>80606.448000000004</v>
      </c>
      <c r="J18" s="537">
        <f t="shared" si="0"/>
        <v>3033.2639999999956</v>
      </c>
      <c r="K18" s="538">
        <f t="shared" si="1"/>
        <v>3.6265835061698871E-2</v>
      </c>
      <c r="L18" s="522"/>
    </row>
    <row r="19" spans="2:12" ht="15" thickBot="1" x14ac:dyDescent="0.4">
      <c r="B19" s="544" t="s">
        <v>281</v>
      </c>
      <c r="C19" s="551">
        <f>[22]Therapies!I5</f>
        <v>36.818800000000003</v>
      </c>
      <c r="D19" s="535"/>
      <c r="E19" s="871" t="s">
        <v>282</v>
      </c>
      <c r="F19" s="871" t="s">
        <v>283</v>
      </c>
      <c r="G19" s="522"/>
      <c r="H19" s="522"/>
      <c r="I19" s="552">
        <v>32.740400000000001</v>
      </c>
      <c r="J19" s="537">
        <f t="shared" si="0"/>
        <v>4.078400000000002</v>
      </c>
      <c r="K19" s="538">
        <f t="shared" si="1"/>
        <v>0.11076949819114153</v>
      </c>
      <c r="L19" s="522"/>
    </row>
    <row r="20" spans="2:12" ht="15" thickBot="1" x14ac:dyDescent="0.4">
      <c r="B20" s="548" t="s">
        <v>284</v>
      </c>
      <c r="C20" s="540">
        <f>C19*2080</f>
        <v>76583.104000000007</v>
      </c>
      <c r="D20" s="541"/>
      <c r="E20" s="872"/>
      <c r="F20" s="872"/>
      <c r="G20" s="522"/>
      <c r="H20" s="522"/>
      <c r="I20" s="553">
        <v>68100.032000000007</v>
      </c>
      <c r="J20" s="537">
        <f t="shared" si="0"/>
        <v>8483.0720000000001</v>
      </c>
      <c r="K20" s="538">
        <f t="shared" si="1"/>
        <v>0.11076949819114147</v>
      </c>
      <c r="L20" s="522"/>
    </row>
    <row r="21" spans="2:12" ht="15" thickBot="1" x14ac:dyDescent="0.4">
      <c r="B21" s="545" t="s">
        <v>128</v>
      </c>
      <c r="C21" s="554">
        <f>[22]Management!J4</f>
        <v>38.860399999999998</v>
      </c>
      <c r="D21" s="522" t="s">
        <v>285</v>
      </c>
      <c r="E21" s="871" t="s">
        <v>129</v>
      </c>
      <c r="F21" s="876" t="s">
        <v>286</v>
      </c>
      <c r="G21" s="544"/>
      <c r="H21" s="535"/>
      <c r="I21" s="555">
        <v>38.180400000000006</v>
      </c>
      <c r="J21" s="537">
        <f t="shared" si="0"/>
        <v>0.67999999999999261</v>
      </c>
      <c r="K21" s="538">
        <f t="shared" si="1"/>
        <v>1.749853321118652E-2</v>
      </c>
      <c r="L21" s="522"/>
    </row>
    <row r="22" spans="2:12" ht="15" thickBot="1" x14ac:dyDescent="0.4">
      <c r="B22" s="548" t="s">
        <v>130</v>
      </c>
      <c r="C22" s="540">
        <f>C21*2080</f>
        <v>80829.631999999998</v>
      </c>
      <c r="D22" s="541" t="s">
        <v>287</v>
      </c>
      <c r="E22" s="872"/>
      <c r="F22" s="877"/>
      <c r="G22" s="548"/>
      <c r="H22" s="541"/>
      <c r="I22" s="553">
        <v>79415.232000000018</v>
      </c>
      <c r="J22" s="537">
        <f t="shared" si="0"/>
        <v>1414.3999999999796</v>
      </c>
      <c r="K22" s="538">
        <f t="shared" si="1"/>
        <v>1.7498533211186457E-2</v>
      </c>
      <c r="L22" s="522"/>
    </row>
    <row r="23" spans="2:12" ht="15" thickBot="1" x14ac:dyDescent="0.4">
      <c r="B23" s="556" t="s">
        <v>348</v>
      </c>
      <c r="C23" s="554">
        <f>[22]Therapies!I11</f>
        <v>39.750500000000002</v>
      </c>
      <c r="D23" s="522" t="s">
        <v>288</v>
      </c>
      <c r="E23" s="871" t="s">
        <v>120</v>
      </c>
      <c r="F23" s="871" t="s">
        <v>349</v>
      </c>
      <c r="G23" s="544"/>
      <c r="H23" s="535"/>
      <c r="I23" s="555">
        <v>38.017499999999998</v>
      </c>
      <c r="J23" s="537">
        <f t="shared" si="0"/>
        <v>1.7330000000000041</v>
      </c>
      <c r="K23" s="538">
        <f t="shared" si="1"/>
        <v>4.3596935887598998E-2</v>
      </c>
      <c r="L23" s="522"/>
    </row>
    <row r="24" spans="2:12" ht="15" thickBot="1" x14ac:dyDescent="0.4">
      <c r="B24" s="539" t="s">
        <v>350</v>
      </c>
      <c r="C24" s="540">
        <f>C23*2080</f>
        <v>82681.040000000008</v>
      </c>
      <c r="D24" s="541"/>
      <c r="E24" s="872"/>
      <c r="F24" s="872"/>
      <c r="G24" s="548"/>
      <c r="H24" s="541"/>
      <c r="I24" s="553">
        <v>79076.399999999994</v>
      </c>
      <c r="J24" s="537">
        <f t="shared" si="0"/>
        <v>3604.640000000014</v>
      </c>
      <c r="K24" s="538">
        <f t="shared" si="1"/>
        <v>4.359693588759906E-2</v>
      </c>
      <c r="L24" s="522"/>
    </row>
    <row r="25" spans="2:12" ht="15" thickBot="1" x14ac:dyDescent="0.4">
      <c r="B25" s="545" t="s">
        <v>289</v>
      </c>
      <c r="C25" s="554">
        <f>[22]Therapies!I17</f>
        <v>42.784640000000003</v>
      </c>
      <c r="D25" s="522" t="s">
        <v>290</v>
      </c>
      <c r="E25" s="871" t="s">
        <v>120</v>
      </c>
      <c r="F25" s="871" t="s">
        <v>291</v>
      </c>
      <c r="G25" s="545"/>
      <c r="H25" s="522"/>
      <c r="I25" s="555">
        <v>41.25168</v>
      </c>
      <c r="J25" s="537">
        <f t="shared" si="0"/>
        <v>1.5329600000000028</v>
      </c>
      <c r="K25" s="538">
        <f t="shared" si="1"/>
        <v>3.5829680932222469E-2</v>
      </c>
      <c r="L25" s="522"/>
    </row>
    <row r="26" spans="2:12" ht="15" thickBot="1" x14ac:dyDescent="0.4">
      <c r="B26" s="548" t="s">
        <v>292</v>
      </c>
      <c r="C26" s="546">
        <f>C25*2080</f>
        <v>88992.051200000002</v>
      </c>
      <c r="D26" s="522"/>
      <c r="E26" s="872"/>
      <c r="F26" s="872"/>
      <c r="G26" s="548"/>
      <c r="H26" s="541"/>
      <c r="I26" s="555">
        <v>85803.494399999996</v>
      </c>
      <c r="J26" s="537">
        <f t="shared" si="0"/>
        <v>3188.5568000000058</v>
      </c>
      <c r="K26" s="538">
        <f t="shared" si="1"/>
        <v>3.5829680932222469E-2</v>
      </c>
      <c r="L26" s="522"/>
    </row>
    <row r="27" spans="2:12" ht="15" thickBot="1" x14ac:dyDescent="0.4">
      <c r="B27" s="544" t="s">
        <v>293</v>
      </c>
      <c r="C27" s="534">
        <f>[22]Clinical!J14</f>
        <v>48.945399999999999</v>
      </c>
      <c r="D27" s="878" t="s">
        <v>131</v>
      </c>
      <c r="E27" s="871" t="s">
        <v>132</v>
      </c>
      <c r="F27" s="871" t="s">
        <v>294</v>
      </c>
      <c r="G27" s="544"/>
      <c r="H27" s="535"/>
      <c r="I27" s="536">
        <v>48.742200000000004</v>
      </c>
      <c r="J27" s="537">
        <f t="shared" si="0"/>
        <v>0.20319999999999538</v>
      </c>
      <c r="K27" s="538">
        <f t="shared" si="1"/>
        <v>4.1515648048641015E-3</v>
      </c>
      <c r="L27" s="522"/>
    </row>
    <row r="28" spans="2:12" ht="15" thickBot="1" x14ac:dyDescent="0.4">
      <c r="B28" s="548" t="s">
        <v>295</v>
      </c>
      <c r="C28" s="540">
        <f>C27*2080</f>
        <v>101806.432</v>
      </c>
      <c r="D28" s="879"/>
      <c r="E28" s="872"/>
      <c r="F28" s="872"/>
      <c r="G28" s="548"/>
      <c r="H28" s="541"/>
      <c r="I28" s="542">
        <v>101383.77600000001</v>
      </c>
      <c r="J28" s="537">
        <f t="shared" si="0"/>
        <v>422.65599999998813</v>
      </c>
      <c r="K28" s="538">
        <f t="shared" si="1"/>
        <v>4.151564804864079E-3</v>
      </c>
      <c r="L28" s="522"/>
    </row>
    <row r="29" spans="2:12" ht="15" thickBot="1" x14ac:dyDescent="0.4">
      <c r="B29" s="533" t="s">
        <v>351</v>
      </c>
      <c r="C29" s="534">
        <f>[22]Therapies!I21</f>
        <v>44.301760000000002</v>
      </c>
      <c r="D29" s="535"/>
      <c r="E29" s="871" t="s">
        <v>120</v>
      </c>
      <c r="F29" s="871" t="s">
        <v>352</v>
      </c>
      <c r="G29" s="544"/>
      <c r="H29" s="535"/>
      <c r="I29" s="536">
        <v>42.756720000000001</v>
      </c>
      <c r="J29" s="537">
        <f t="shared" si="0"/>
        <v>1.5450400000000002</v>
      </c>
      <c r="K29" s="538">
        <f t="shared" si="1"/>
        <v>3.4875363868162354E-2</v>
      </c>
      <c r="L29" s="522"/>
    </row>
    <row r="30" spans="2:12" ht="15" thickBot="1" x14ac:dyDescent="0.4">
      <c r="B30" s="539" t="s">
        <v>353</v>
      </c>
      <c r="C30" s="540">
        <f>C29*2080</f>
        <v>92147.660799999998</v>
      </c>
      <c r="D30" s="541"/>
      <c r="E30" s="872"/>
      <c r="F30" s="872"/>
      <c r="G30" s="548"/>
      <c r="H30" s="541"/>
      <c r="I30" s="553">
        <v>88933.977599999998</v>
      </c>
      <c r="J30" s="537">
        <f t="shared" si="0"/>
        <v>3213.6831999999995</v>
      </c>
      <c r="K30" s="538">
        <f t="shared" si="1"/>
        <v>3.4875363868162347E-2</v>
      </c>
      <c r="L30" s="522"/>
    </row>
    <row r="31" spans="2:12" ht="15" thickBot="1" x14ac:dyDescent="0.4">
      <c r="B31" s="544" t="s">
        <v>136</v>
      </c>
      <c r="C31" s="534">
        <f>[22]Nursing!J8</f>
        <v>49.818400000000004</v>
      </c>
      <c r="D31" s="535"/>
      <c r="E31" s="871" t="s">
        <v>137</v>
      </c>
      <c r="F31" s="871" t="s">
        <v>296</v>
      </c>
      <c r="G31" s="544"/>
      <c r="H31" s="535"/>
      <c r="I31" s="536">
        <v>49.162799999999997</v>
      </c>
      <c r="J31" s="537">
        <f t="shared" si="0"/>
        <v>0.65560000000000684</v>
      </c>
      <c r="K31" s="538">
        <f t="shared" si="1"/>
        <v>1.3159796380453944E-2</v>
      </c>
      <c r="L31" s="522"/>
    </row>
    <row r="32" spans="2:12" ht="15" thickBot="1" x14ac:dyDescent="0.4">
      <c r="B32" s="548" t="s">
        <v>138</v>
      </c>
      <c r="C32" s="540">
        <f>C31*2080</f>
        <v>103622.27200000001</v>
      </c>
      <c r="D32" s="541"/>
      <c r="E32" s="872"/>
      <c r="F32" s="872"/>
      <c r="G32" s="548"/>
      <c r="H32" s="541"/>
      <c r="I32" s="553">
        <v>102258.624</v>
      </c>
      <c r="J32" s="537">
        <f t="shared" si="0"/>
        <v>1363.6480000000156</v>
      </c>
      <c r="K32" s="538">
        <f t="shared" si="1"/>
        <v>1.3159796380453958E-2</v>
      </c>
      <c r="L32" s="522"/>
    </row>
    <row r="33" spans="2:12" ht="15" thickBot="1" x14ac:dyDescent="0.4">
      <c r="B33" s="544" t="s">
        <v>139</v>
      </c>
      <c r="C33" s="534">
        <f>[22]Nursing!J13</f>
        <v>67.710800000000006</v>
      </c>
      <c r="D33" s="535"/>
      <c r="E33" s="871" t="s">
        <v>140</v>
      </c>
      <c r="F33" s="871" t="s">
        <v>297</v>
      </c>
      <c r="G33" s="544"/>
      <c r="H33" s="535"/>
      <c r="I33" s="536">
        <v>65.162400000000005</v>
      </c>
      <c r="J33" s="537">
        <f t="shared" si="0"/>
        <v>2.5484000000000009</v>
      </c>
      <c r="K33" s="538">
        <f t="shared" si="1"/>
        <v>3.7636536564329484E-2</v>
      </c>
      <c r="L33" s="522"/>
    </row>
    <row r="34" spans="2:12" ht="15" thickBot="1" x14ac:dyDescent="0.4">
      <c r="B34" s="548" t="s">
        <v>141</v>
      </c>
      <c r="C34" s="540">
        <f>C33*2080</f>
        <v>140838.46400000001</v>
      </c>
      <c r="D34" s="541"/>
      <c r="E34" s="872"/>
      <c r="F34" s="872"/>
      <c r="G34" s="548"/>
      <c r="H34" s="541"/>
      <c r="I34" s="553">
        <v>135537.79200000002</v>
      </c>
      <c r="J34" s="537">
        <f t="shared" si="0"/>
        <v>5300.6719999999914</v>
      </c>
      <c r="K34" s="538">
        <f t="shared" si="1"/>
        <v>3.7636536564329408E-2</v>
      </c>
      <c r="L34" s="522"/>
    </row>
    <row r="35" spans="2:12" ht="14.5" x14ac:dyDescent="0.35">
      <c r="B35" s="522"/>
      <c r="C35" s="522"/>
      <c r="D35" s="522"/>
      <c r="E35" s="524"/>
      <c r="F35" s="524"/>
      <c r="G35" s="522"/>
      <c r="H35" s="522"/>
      <c r="I35" s="522"/>
      <c r="J35" s="525"/>
      <c r="K35" s="557">
        <f>AVERAGE(K5:K34)</f>
        <v>5.1765242439199569E-2</v>
      </c>
      <c r="L35" s="522"/>
    </row>
    <row r="36" spans="2:12" ht="29" x14ac:dyDescent="0.35">
      <c r="B36" s="558" t="s">
        <v>517</v>
      </c>
      <c r="C36" s="546">
        <f>C6</f>
        <v>43247.567999999999</v>
      </c>
      <c r="D36" s="522"/>
      <c r="E36" s="524"/>
      <c r="F36" s="524"/>
      <c r="G36" s="522"/>
      <c r="H36" s="522"/>
      <c r="I36" s="522"/>
      <c r="J36" s="525"/>
      <c r="K36" s="522"/>
      <c r="L36" s="522"/>
    </row>
    <row r="37" spans="2:12" ht="14.5" x14ac:dyDescent="0.35">
      <c r="B37" s="522"/>
      <c r="C37" s="559"/>
      <c r="D37" s="522"/>
      <c r="E37" s="524"/>
      <c r="F37" s="524"/>
      <c r="G37" s="522"/>
      <c r="H37" s="522"/>
      <c r="I37" s="522"/>
      <c r="J37" s="525"/>
      <c r="K37" s="522"/>
      <c r="L37" s="522"/>
    </row>
    <row r="38" spans="2:12" ht="14.5" x14ac:dyDescent="0.35">
      <c r="B38" s="560" t="s">
        <v>298</v>
      </c>
      <c r="C38" s="561">
        <v>0.24970000000000001</v>
      </c>
      <c r="D38" s="522" t="s">
        <v>354</v>
      </c>
      <c r="E38" s="524"/>
      <c r="F38" s="524"/>
      <c r="G38" s="522"/>
      <c r="H38" s="522"/>
      <c r="I38" s="522"/>
      <c r="J38" s="525"/>
      <c r="K38" s="522"/>
      <c r="L38" s="522"/>
    </row>
    <row r="39" spans="2:12" ht="34.4" customHeight="1" x14ac:dyDescent="0.35">
      <c r="B39" s="560"/>
      <c r="C39" s="559"/>
      <c r="D39" s="880" t="s">
        <v>299</v>
      </c>
      <c r="E39" s="880"/>
      <c r="F39" s="522"/>
      <c r="G39" s="522"/>
      <c r="H39" s="522"/>
      <c r="I39" s="522"/>
      <c r="J39" s="525"/>
      <c r="K39" s="522"/>
      <c r="L39" s="522"/>
    </row>
    <row r="40" spans="2:12" ht="14.5" x14ac:dyDescent="0.35">
      <c r="B40" s="522"/>
      <c r="C40" s="559"/>
      <c r="D40" s="522"/>
      <c r="E40" s="524"/>
      <c r="F40" s="524"/>
      <c r="G40" s="522"/>
      <c r="H40" s="522"/>
      <c r="I40" s="522"/>
      <c r="J40" s="525"/>
      <c r="K40" s="522"/>
      <c r="L40" s="522"/>
    </row>
    <row r="41" spans="2:12" ht="14.5" x14ac:dyDescent="0.35">
      <c r="B41" s="560" t="s">
        <v>78</v>
      </c>
      <c r="C41" s="562">
        <v>0.12</v>
      </c>
      <c r="D41" s="522" t="s">
        <v>142</v>
      </c>
      <c r="E41" s="524"/>
      <c r="F41" s="524"/>
      <c r="G41" s="522"/>
      <c r="H41" s="522"/>
      <c r="I41" s="522"/>
      <c r="J41" s="525"/>
      <c r="K41" s="522"/>
      <c r="L41" s="522"/>
    </row>
    <row r="42" spans="2:12" ht="14.5" x14ac:dyDescent="0.35">
      <c r="B42" s="560"/>
      <c r="C42" s="563"/>
      <c r="D42" s="522"/>
      <c r="E42" s="524"/>
      <c r="F42" s="524"/>
      <c r="G42" s="522"/>
      <c r="H42" s="522"/>
      <c r="I42" s="522"/>
      <c r="J42" s="525"/>
      <c r="K42" s="522"/>
      <c r="L42" s="522"/>
    </row>
    <row r="43" spans="2:12" ht="14.5" x14ac:dyDescent="0.35">
      <c r="B43" s="881" t="s">
        <v>300</v>
      </c>
      <c r="C43" s="881"/>
      <c r="D43" s="881"/>
      <c r="E43" s="524"/>
      <c r="F43" s="524"/>
      <c r="G43" s="522"/>
      <c r="H43" s="522"/>
      <c r="I43" s="522"/>
      <c r="J43" s="525"/>
      <c r="K43" s="522"/>
      <c r="L43" s="522"/>
    </row>
    <row r="44" spans="2:12" ht="14.5" x14ac:dyDescent="0.35">
      <c r="B44" s="564" t="s">
        <v>355</v>
      </c>
      <c r="C44" s="546">
        <v>247470</v>
      </c>
      <c r="D44" s="522" t="s">
        <v>356</v>
      </c>
      <c r="E44" s="524"/>
      <c r="F44" s="524"/>
      <c r="G44" s="522"/>
      <c r="H44" s="522"/>
      <c r="I44" s="565">
        <v>247470</v>
      </c>
      <c r="J44" s="525">
        <f t="shared" ref="J44:J52" si="2">C44-I44</f>
        <v>0</v>
      </c>
      <c r="K44" s="522"/>
      <c r="L44" s="522"/>
    </row>
    <row r="45" spans="2:12" ht="14.5" x14ac:dyDescent="0.35">
      <c r="B45" s="560" t="s">
        <v>144</v>
      </c>
      <c r="C45" s="546">
        <v>252850</v>
      </c>
      <c r="D45" s="522" t="s">
        <v>357</v>
      </c>
      <c r="E45" s="524"/>
      <c r="F45" s="524"/>
      <c r="G45" s="522"/>
      <c r="H45" s="522"/>
      <c r="I45" s="565">
        <v>206010</v>
      </c>
      <c r="J45" s="525">
        <f t="shared" si="2"/>
        <v>46840</v>
      </c>
      <c r="K45" s="522"/>
      <c r="L45" s="522"/>
    </row>
    <row r="46" spans="2:12" ht="14.5" x14ac:dyDescent="0.35">
      <c r="B46" s="560" t="s">
        <v>145</v>
      </c>
      <c r="C46" s="546">
        <f>C34</f>
        <v>140838.46400000001</v>
      </c>
      <c r="D46" s="522" t="s">
        <v>358</v>
      </c>
      <c r="E46" s="524"/>
      <c r="F46" s="524"/>
      <c r="G46" s="522"/>
      <c r="H46" s="522"/>
      <c r="I46" s="565">
        <v>133902.08000000002</v>
      </c>
      <c r="J46" s="525">
        <f t="shared" si="2"/>
        <v>6936.3839999999909</v>
      </c>
      <c r="K46" s="522"/>
      <c r="L46" s="522"/>
    </row>
    <row r="47" spans="2:12" ht="14.5" x14ac:dyDescent="0.35">
      <c r="B47" s="560" t="s">
        <v>301</v>
      </c>
      <c r="C47" s="566">
        <f>C6</f>
        <v>43247.567999999999</v>
      </c>
      <c r="D47" s="522" t="s">
        <v>302</v>
      </c>
      <c r="E47" s="524"/>
      <c r="F47" s="524"/>
      <c r="G47" s="522"/>
      <c r="H47" s="522"/>
      <c r="I47" s="565">
        <v>39522</v>
      </c>
      <c r="J47" s="525">
        <f t="shared" si="2"/>
        <v>3725.5679999999993</v>
      </c>
      <c r="K47" s="522"/>
      <c r="L47" s="522"/>
    </row>
    <row r="48" spans="2:12" ht="14.5" x14ac:dyDescent="0.35">
      <c r="B48" s="560" t="s">
        <v>303</v>
      </c>
      <c r="C48" s="566">
        <f>AVERAGE(C6,C8)</f>
        <v>49732.404800000004</v>
      </c>
      <c r="D48" s="522" t="s">
        <v>304</v>
      </c>
      <c r="E48" s="524"/>
      <c r="F48" s="524"/>
      <c r="G48" s="522"/>
      <c r="H48" s="522"/>
      <c r="I48" s="565">
        <v>44972</v>
      </c>
      <c r="J48" s="525">
        <f t="shared" si="2"/>
        <v>4760.4048000000039</v>
      </c>
      <c r="K48" s="522"/>
      <c r="L48" s="522"/>
    </row>
    <row r="49" spans="2:12" ht="14.5" x14ac:dyDescent="0.35">
      <c r="B49" s="560" t="s">
        <v>305</v>
      </c>
      <c r="C49" s="546">
        <f>C8</f>
        <v>56217.241600000001</v>
      </c>
      <c r="D49" s="522" t="s">
        <v>306</v>
      </c>
      <c r="E49" s="524"/>
      <c r="F49" s="524"/>
      <c r="G49" s="522"/>
      <c r="H49" s="522"/>
      <c r="I49" s="565">
        <v>50422</v>
      </c>
      <c r="J49" s="525">
        <f t="shared" si="2"/>
        <v>5795.2416000000012</v>
      </c>
      <c r="K49" s="522"/>
      <c r="L49" s="522"/>
    </row>
    <row r="50" spans="2:12" ht="14.5" x14ac:dyDescent="0.35">
      <c r="B50" s="560" t="s">
        <v>307</v>
      </c>
      <c r="C50" s="546">
        <f>[22]state_M2023_dl!O409*2080</f>
        <v>44847.296000000002</v>
      </c>
      <c r="D50" s="522" t="s">
        <v>359</v>
      </c>
      <c r="E50" s="524"/>
      <c r="F50" s="524"/>
      <c r="G50" s="522"/>
      <c r="H50" s="522"/>
      <c r="I50" s="565">
        <v>39438.464</v>
      </c>
      <c r="J50" s="525">
        <f t="shared" si="2"/>
        <v>5408.8320000000022</v>
      </c>
      <c r="K50" s="522"/>
      <c r="L50" s="522"/>
    </row>
    <row r="51" spans="2:12" ht="14.5" x14ac:dyDescent="0.35">
      <c r="B51" s="560" t="s">
        <v>308</v>
      </c>
      <c r="C51" s="566">
        <f>[22]state_M2023_dl!O609*2080</f>
        <v>51381.824000000001</v>
      </c>
      <c r="D51" s="522" t="s">
        <v>360</v>
      </c>
      <c r="E51" s="524"/>
      <c r="F51" s="524"/>
      <c r="G51" s="522"/>
      <c r="H51" s="522"/>
      <c r="I51" s="565">
        <v>49405.824000000001</v>
      </c>
      <c r="J51" s="525">
        <f t="shared" si="2"/>
        <v>1976</v>
      </c>
      <c r="K51" s="522"/>
      <c r="L51" s="522"/>
    </row>
    <row r="52" spans="2:12" ht="14.5" x14ac:dyDescent="0.35">
      <c r="B52" s="560" t="s">
        <v>309</v>
      </c>
      <c r="C52" s="566">
        <f>28.49*2080</f>
        <v>59259.199999999997</v>
      </c>
      <c r="D52" s="522" t="s">
        <v>361</v>
      </c>
      <c r="E52" s="524"/>
      <c r="F52" s="524"/>
      <c r="G52" s="522"/>
      <c r="H52" s="522"/>
      <c r="I52" s="565">
        <v>55776.032000000007</v>
      </c>
      <c r="J52" s="525">
        <f t="shared" si="2"/>
        <v>3483.1679999999906</v>
      </c>
      <c r="K52" s="522"/>
      <c r="L52" s="522"/>
    </row>
    <row r="53" spans="2:12" ht="14.5" x14ac:dyDescent="0.35">
      <c r="B53" s="560"/>
      <c r="C53" s="566"/>
      <c r="D53" s="522"/>
      <c r="E53" s="524"/>
      <c r="F53" s="524"/>
      <c r="G53" s="522"/>
      <c r="H53" s="522"/>
      <c r="I53" s="565"/>
      <c r="J53" s="525"/>
      <c r="K53" s="522"/>
      <c r="L53" s="522"/>
    </row>
    <row r="54" spans="2:12" ht="14.5" x14ac:dyDescent="0.35">
      <c r="B54" s="560"/>
      <c r="C54" s="566"/>
      <c r="D54" s="522"/>
      <c r="E54" s="524"/>
      <c r="F54" s="524"/>
      <c r="G54" s="522"/>
      <c r="H54" s="522"/>
      <c r="I54" s="565"/>
      <c r="J54" s="525"/>
      <c r="K54" s="522"/>
      <c r="L54" s="522"/>
    </row>
    <row r="55" spans="2:12" ht="14.5" x14ac:dyDescent="0.35">
      <c r="B55" s="882" t="s">
        <v>362</v>
      </c>
      <c r="C55" s="882"/>
      <c r="D55" s="882"/>
      <c r="E55" s="882"/>
      <c r="F55" s="882"/>
      <c r="G55" s="522"/>
      <c r="H55" s="522"/>
      <c r="I55" s="522"/>
      <c r="J55" s="525"/>
      <c r="K55" s="522"/>
      <c r="L55" s="522"/>
    </row>
    <row r="56" spans="2:12" ht="14.5" x14ac:dyDescent="0.35">
      <c r="B56" s="567" t="s">
        <v>363</v>
      </c>
      <c r="C56" s="522" t="s">
        <v>364</v>
      </c>
      <c r="D56" s="522"/>
      <c r="E56" s="524"/>
      <c r="F56" s="524"/>
      <c r="G56" s="522"/>
      <c r="H56" s="522"/>
      <c r="I56" s="522"/>
      <c r="J56" s="525"/>
      <c r="K56" s="522"/>
      <c r="L56" s="522"/>
    </row>
    <row r="57" spans="2:12" ht="66.650000000000006" customHeight="1" x14ac:dyDescent="0.35">
      <c r="B57" s="568" t="s">
        <v>365</v>
      </c>
      <c r="C57" s="880" t="s">
        <v>366</v>
      </c>
      <c r="D57" s="880"/>
      <c r="E57" s="880"/>
      <c r="F57" s="880"/>
      <c r="G57" s="880"/>
      <c r="H57" s="880"/>
      <c r="I57" s="880"/>
      <c r="J57" s="880"/>
      <c r="K57" s="522"/>
      <c r="L57" s="522"/>
    </row>
    <row r="58" spans="2:12" ht="14.5" x14ac:dyDescent="0.35">
      <c r="B58" s="522"/>
      <c r="C58" s="522"/>
      <c r="D58" s="522"/>
      <c r="E58" s="524"/>
      <c r="F58" s="524"/>
      <c r="G58" s="522"/>
      <c r="H58" s="522"/>
      <c r="I58" s="522"/>
      <c r="J58" s="525"/>
      <c r="K58" s="522"/>
      <c r="L58" s="522"/>
    </row>
    <row r="59" spans="2:12" ht="14.5" x14ac:dyDescent="0.35">
      <c r="B59" s="522"/>
      <c r="C59" s="522"/>
      <c r="D59" s="522"/>
      <c r="E59" s="524"/>
      <c r="F59" s="524"/>
      <c r="G59" s="522"/>
      <c r="H59" s="522"/>
      <c r="I59" s="522"/>
      <c r="J59" s="525"/>
      <c r="K59" s="522"/>
      <c r="L59" s="522"/>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B2:J26"/>
  <sheetViews>
    <sheetView zoomScaleNormal="100" workbookViewId="0">
      <selection activeCell="C23" sqref="C23"/>
    </sheetView>
  </sheetViews>
  <sheetFormatPr defaultColWidth="8.81640625" defaultRowHeight="14.5" x14ac:dyDescent="0.35"/>
  <cols>
    <col min="2" max="2" width="22.7265625" bestFit="1" customWidth="1"/>
    <col min="3" max="3" width="18.453125" style="365" customWidth="1"/>
    <col min="4" max="4" width="39.81640625" style="365" customWidth="1"/>
    <col min="5" max="5" width="7.453125" customWidth="1"/>
    <col min="6" max="6" width="27.26953125" bestFit="1" customWidth="1"/>
    <col min="7" max="7" width="16.453125" customWidth="1"/>
    <col min="8" max="8" width="8.7265625" customWidth="1"/>
    <col min="9" max="9" width="11.453125" bestFit="1" customWidth="1"/>
    <col min="10" max="10" width="12" bestFit="1" customWidth="1"/>
  </cols>
  <sheetData>
    <row r="2" spans="2:10" ht="15" thickBot="1" x14ac:dyDescent="0.4"/>
    <row r="3" spans="2:10" ht="15" thickBot="1" x14ac:dyDescent="0.4">
      <c r="B3" s="883" t="s">
        <v>398</v>
      </c>
      <c r="C3" s="884"/>
      <c r="D3" s="366" t="s">
        <v>399</v>
      </c>
      <c r="E3" s="367"/>
    </row>
    <row r="4" spans="2:10" x14ac:dyDescent="0.35">
      <c r="B4" s="370" t="s">
        <v>4</v>
      </c>
      <c r="C4" s="371">
        <f>'M2023 BLS Chart'!C22</f>
        <v>80829.631999999998</v>
      </c>
      <c r="D4" s="368" t="s">
        <v>407</v>
      </c>
      <c r="E4" s="371"/>
      <c r="F4" s="885" t="s">
        <v>93</v>
      </c>
      <c r="G4" s="885"/>
      <c r="H4" s="885"/>
    </row>
    <row r="5" spans="2:10" ht="15" thickBot="1" x14ac:dyDescent="0.4">
      <c r="B5" s="370" t="s">
        <v>400</v>
      </c>
      <c r="C5" s="371">
        <f>'M2023 BLS Chart'!C45</f>
        <v>252850</v>
      </c>
      <c r="D5" s="368" t="s">
        <v>407</v>
      </c>
      <c r="E5" s="372"/>
      <c r="F5" s="519"/>
      <c r="G5" s="519" t="s">
        <v>96</v>
      </c>
      <c r="H5" s="519" t="s">
        <v>97</v>
      </c>
      <c r="I5" s="369"/>
    </row>
    <row r="6" spans="2:10" x14ac:dyDescent="0.35">
      <c r="B6" s="370" t="s">
        <v>401</v>
      </c>
      <c r="C6" s="371">
        <f>'M2023 BLS Chart'!C34</f>
        <v>140838.46400000001</v>
      </c>
      <c r="D6" s="368" t="s">
        <v>407</v>
      </c>
      <c r="E6" s="372"/>
      <c r="F6" s="243" t="s">
        <v>99</v>
      </c>
      <c r="G6" s="244">
        <v>15</v>
      </c>
      <c r="H6" s="245">
        <f>G6*8</f>
        <v>120</v>
      </c>
    </row>
    <row r="7" spans="2:10" x14ac:dyDescent="0.35">
      <c r="B7" s="373" t="s">
        <v>402</v>
      </c>
      <c r="C7" s="371">
        <f>'M2023 BLS Chart'!C32</f>
        <v>103622.27200000001</v>
      </c>
      <c r="D7" s="368" t="s">
        <v>407</v>
      </c>
      <c r="E7" s="372"/>
      <c r="F7" s="246" t="s">
        <v>103</v>
      </c>
      <c r="G7" s="247">
        <v>12</v>
      </c>
      <c r="H7" s="248">
        <f>G7*8</f>
        <v>96</v>
      </c>
    </row>
    <row r="8" spans="2:10" x14ac:dyDescent="0.35">
      <c r="B8" s="374" t="s">
        <v>403</v>
      </c>
      <c r="C8" s="371">
        <f>'M2023 BLS Chart'!C18</f>
        <v>83639.712</v>
      </c>
      <c r="D8" s="368" t="s">
        <v>407</v>
      </c>
      <c r="E8" s="372"/>
      <c r="F8" s="246" t="s">
        <v>105</v>
      </c>
      <c r="G8" s="247">
        <v>11</v>
      </c>
      <c r="H8" s="248">
        <f>G8*8</f>
        <v>88</v>
      </c>
    </row>
    <row r="9" spans="2:10" x14ac:dyDescent="0.35">
      <c r="B9" s="374" t="s">
        <v>404</v>
      </c>
      <c r="C9" s="371">
        <f>'M2023 BLS Chart'!C14</f>
        <v>70211.44</v>
      </c>
      <c r="D9" s="368" t="s">
        <v>407</v>
      </c>
      <c r="E9" s="372"/>
      <c r="F9" s="246" t="s">
        <v>108</v>
      </c>
      <c r="G9" s="247">
        <v>5</v>
      </c>
      <c r="H9" s="248">
        <f>G9*8</f>
        <v>40</v>
      </c>
      <c r="I9" s="375">
        <f>SUM(H6:H9)</f>
        <v>344</v>
      </c>
      <c r="J9" t="s">
        <v>550</v>
      </c>
    </row>
    <row r="10" spans="2:10" ht="15" thickBot="1" x14ac:dyDescent="0.4">
      <c r="B10" s="477" t="s">
        <v>508</v>
      </c>
      <c r="C10" s="371">
        <f>'M2023 BLS Chart'!C12</f>
        <v>64438.399999999994</v>
      </c>
      <c r="D10" s="368" t="s">
        <v>407</v>
      </c>
      <c r="E10" s="372"/>
      <c r="F10" s="520" t="s">
        <v>110</v>
      </c>
      <c r="G10" s="247">
        <v>35</v>
      </c>
      <c r="H10" s="248">
        <f>G10*8</f>
        <v>280</v>
      </c>
      <c r="I10" s="759">
        <f>I9/40</f>
        <v>8.6</v>
      </c>
      <c r="J10" t="s">
        <v>551</v>
      </c>
    </row>
    <row r="11" spans="2:10" ht="15" thickBot="1" x14ac:dyDescent="0.4">
      <c r="B11" s="374" t="s">
        <v>405</v>
      </c>
      <c r="C11" s="371">
        <f>'M2023 BLS Chart'!C6</f>
        <v>43247.567999999999</v>
      </c>
      <c r="D11" s="368" t="s">
        <v>407</v>
      </c>
      <c r="E11" s="372"/>
      <c r="F11" s="249"/>
      <c r="G11" s="250" t="s">
        <v>114</v>
      </c>
      <c r="H11" s="251">
        <f>SUM(H6:H10)</f>
        <v>624</v>
      </c>
      <c r="I11" s="375"/>
    </row>
    <row r="12" spans="2:10" ht="27" thickBot="1" x14ac:dyDescent="0.4">
      <c r="B12" s="374" t="s">
        <v>406</v>
      </c>
      <c r="C12" s="371">
        <f>'M2023 BLS Chart'!C8</f>
        <v>56217.241600000001</v>
      </c>
      <c r="D12" s="368" t="s">
        <v>407</v>
      </c>
      <c r="E12" s="372"/>
      <c r="F12" s="252"/>
      <c r="G12" s="253" t="s">
        <v>117</v>
      </c>
      <c r="H12" s="521">
        <f>2080-H11</f>
        <v>1456</v>
      </c>
      <c r="I12" s="376"/>
    </row>
    <row r="13" spans="2:10" x14ac:dyDescent="0.35">
      <c r="B13" s="374" t="s">
        <v>250</v>
      </c>
      <c r="C13" s="371">
        <f>'M2023 BLS Chart'!C8</f>
        <v>56217.241600000001</v>
      </c>
      <c r="D13" s="368" t="s">
        <v>407</v>
      </c>
      <c r="E13" s="372"/>
      <c r="I13" s="376"/>
    </row>
    <row r="14" spans="2:10" ht="15" thickBot="1" x14ac:dyDescent="0.4">
      <c r="B14" s="374" t="s">
        <v>249</v>
      </c>
      <c r="C14" s="371">
        <f>'M2023 BLS Chart'!C6</f>
        <v>43247.567999999999</v>
      </c>
      <c r="D14" s="368" t="s">
        <v>407</v>
      </c>
      <c r="E14" s="377"/>
      <c r="I14" s="376"/>
    </row>
    <row r="15" spans="2:10" ht="15" thickBot="1" x14ac:dyDescent="0.4">
      <c r="B15" s="883" t="s">
        <v>121</v>
      </c>
      <c r="C15" s="884"/>
      <c r="D15" s="378" t="s">
        <v>399</v>
      </c>
      <c r="E15" s="377"/>
      <c r="I15" s="376"/>
    </row>
    <row r="16" spans="2:10" x14ac:dyDescent="0.35">
      <c r="B16" s="370" t="s">
        <v>23</v>
      </c>
      <c r="C16" s="379">
        <f ca="1">'UFR FY23 Combined'!E5</f>
        <v>8516.4863039663633</v>
      </c>
      <c r="D16" s="380" t="s">
        <v>537</v>
      </c>
      <c r="E16" s="367"/>
      <c r="G16" s="758" t="s">
        <v>549</v>
      </c>
    </row>
    <row r="17" spans="2:10" x14ac:dyDescent="0.35">
      <c r="B17" s="370" t="s">
        <v>24</v>
      </c>
      <c r="C17" s="379">
        <f ca="1">'UFR FY23 Combined'!AO5</f>
        <v>3410.6245791447127</v>
      </c>
      <c r="D17" s="380" t="s">
        <v>537</v>
      </c>
      <c r="E17" s="367"/>
    </row>
    <row r="18" spans="2:10" x14ac:dyDescent="0.35">
      <c r="B18" s="370" t="s">
        <v>329</v>
      </c>
      <c r="C18" s="381">
        <f ca="1">SUM('UFR FY23 Combined'!G5:AK5)</f>
        <v>17228.263463673018</v>
      </c>
      <c r="D18" s="380" t="s">
        <v>537</v>
      </c>
      <c r="E18" s="367"/>
      <c r="H18" s="760">
        <v>2080</v>
      </c>
      <c r="I18" s="761" t="s">
        <v>554</v>
      </c>
      <c r="J18" s="760"/>
    </row>
    <row r="19" spans="2:10" x14ac:dyDescent="0.35">
      <c r="B19" s="370"/>
      <c r="C19" s="381"/>
      <c r="D19" s="633"/>
      <c r="E19" s="367"/>
      <c r="H19" s="760">
        <v>120</v>
      </c>
      <c r="I19" s="762" t="s">
        <v>99</v>
      </c>
      <c r="J19" s="886" t="s">
        <v>555</v>
      </c>
    </row>
    <row r="20" spans="2:10" ht="31.5" customHeight="1" x14ac:dyDescent="0.35">
      <c r="B20" s="370" t="s">
        <v>7</v>
      </c>
      <c r="C20" s="382">
        <f>'M2023 BLS Chart'!C38</f>
        <v>0.24970000000000001</v>
      </c>
      <c r="D20" s="389" t="s">
        <v>354</v>
      </c>
      <c r="E20" s="387"/>
      <c r="H20" s="760">
        <v>96</v>
      </c>
      <c r="I20" s="763" t="s">
        <v>103</v>
      </c>
      <c r="J20" s="886"/>
    </row>
    <row r="21" spans="2:10" x14ac:dyDescent="0.35">
      <c r="B21" s="370" t="s">
        <v>78</v>
      </c>
      <c r="C21" s="384">
        <f>'M2023 BLS Chart'!C41</f>
        <v>0.12</v>
      </c>
      <c r="D21" s="409" t="s">
        <v>142</v>
      </c>
      <c r="E21" s="388"/>
      <c r="H21" s="760">
        <v>88</v>
      </c>
      <c r="I21" s="763" t="s">
        <v>105</v>
      </c>
      <c r="J21" s="886"/>
    </row>
    <row r="22" spans="2:10" ht="15" thickBot="1" x14ac:dyDescent="0.4">
      <c r="B22" s="385" t="s">
        <v>408</v>
      </c>
      <c r="C22" s="386">
        <f>'FALL 24 CAF'!CP38</f>
        <v>3.2549514448865162E-2</v>
      </c>
      <c r="D22" s="383" t="s">
        <v>409</v>
      </c>
      <c r="E22" s="367"/>
      <c r="H22" s="760">
        <v>40</v>
      </c>
      <c r="I22" s="764" t="s">
        <v>108</v>
      </c>
      <c r="J22" s="886"/>
    </row>
    <row r="23" spans="2:10" x14ac:dyDescent="0.35">
      <c r="H23" s="760">
        <f>H18-SUM(H19:H22)</f>
        <v>1736</v>
      </c>
      <c r="I23" s="765" t="s">
        <v>553</v>
      </c>
      <c r="J23" s="760"/>
    </row>
    <row r="24" spans="2:10" x14ac:dyDescent="0.35">
      <c r="H24" s="760">
        <f>H23/40</f>
        <v>43.4</v>
      </c>
      <c r="I24" s="765" t="s">
        <v>556</v>
      </c>
      <c r="J24" s="760"/>
    </row>
    <row r="25" spans="2:10" x14ac:dyDescent="0.35">
      <c r="H25" s="760">
        <v>28</v>
      </c>
      <c r="I25" s="765" t="s">
        <v>552</v>
      </c>
      <c r="J25" s="760"/>
    </row>
    <row r="26" spans="2:10" x14ac:dyDescent="0.35">
      <c r="H26" s="760">
        <f>H24*H25</f>
        <v>1215.2</v>
      </c>
      <c r="I26" s="760"/>
      <c r="J26" s="760"/>
    </row>
  </sheetData>
  <mergeCells count="4">
    <mergeCell ref="B3:C3"/>
    <mergeCell ref="B15:C15"/>
    <mergeCell ref="F4:H4"/>
    <mergeCell ref="J19:J22"/>
  </mergeCells>
  <phoneticPr fontId="3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8BAA-7A20-4083-BDBD-6B2DB3368A22}">
  <dimension ref="A2:G35"/>
  <sheetViews>
    <sheetView workbookViewId="0">
      <selection activeCell="J21" sqref="J21"/>
    </sheetView>
  </sheetViews>
  <sheetFormatPr defaultColWidth="8.81640625" defaultRowHeight="14.5" x14ac:dyDescent="0.35"/>
  <cols>
    <col min="2" max="2" width="32.453125" customWidth="1"/>
    <col min="3" max="3" width="20.7265625" style="365" customWidth="1"/>
    <col min="4" max="4" width="9.453125" style="365" customWidth="1"/>
    <col min="5" max="5" width="11.7265625" style="365" customWidth="1"/>
    <col min="6" max="6" width="9.26953125" style="365" customWidth="1"/>
    <col min="7" max="7" width="19.54296875" style="365" customWidth="1"/>
  </cols>
  <sheetData>
    <row r="2" spans="1:6" ht="15" thickBot="1" x14ac:dyDescent="0.4"/>
    <row r="3" spans="1:6" ht="47.25" customHeight="1" x14ac:dyDescent="0.35">
      <c r="B3" s="806" t="s">
        <v>538</v>
      </c>
      <c r="C3" s="807" t="s">
        <v>542</v>
      </c>
      <c r="D3" s="807" t="s">
        <v>535</v>
      </c>
      <c r="E3" s="807" t="s">
        <v>534</v>
      </c>
      <c r="F3" s="808" t="s">
        <v>495</v>
      </c>
    </row>
    <row r="4" spans="1:6" x14ac:dyDescent="0.35">
      <c r="B4" s="809" t="s">
        <v>405</v>
      </c>
      <c r="C4" s="810" t="s">
        <v>0</v>
      </c>
      <c r="D4" s="811">
        <v>19.7</v>
      </c>
      <c r="E4" s="812">
        <f ca="1">'Recovery Coach '!L22</f>
        <v>23.147344664674044</v>
      </c>
      <c r="F4" s="623">
        <f ca="1">(E4-D4)/D4</f>
        <v>0.17499211495807335</v>
      </c>
    </row>
    <row r="5" spans="1:6" x14ac:dyDescent="0.35">
      <c r="B5" s="813" t="s">
        <v>39</v>
      </c>
      <c r="D5" s="814"/>
      <c r="E5" s="814"/>
      <c r="F5" s="624"/>
    </row>
    <row r="6" spans="1:6" ht="15" customHeight="1" x14ac:dyDescent="0.35">
      <c r="B6" s="815" t="s">
        <v>504</v>
      </c>
      <c r="C6" s="365" t="s">
        <v>40</v>
      </c>
      <c r="D6" s="816">
        <v>57.846244075160733</v>
      </c>
      <c r="E6" s="817">
        <f ca="1">'Outpatient Counseling '!K24</f>
        <v>66.193019385923009</v>
      </c>
      <c r="F6" s="818">
        <f t="shared" ref="F6:F24" ca="1" si="0">(E6-D6)/D6</f>
        <v>0.14429243322897767</v>
      </c>
    </row>
    <row r="7" spans="1:6" ht="15" customHeight="1" x14ac:dyDescent="0.35">
      <c r="B7" s="815" t="s">
        <v>505</v>
      </c>
      <c r="C7" s="365" t="s">
        <v>56</v>
      </c>
      <c r="D7" s="816">
        <v>8.6814366112741101</v>
      </c>
      <c r="E7" s="817">
        <f ca="1">'Outpatient Counseling '!K33</f>
        <v>9.9289529078884513</v>
      </c>
      <c r="F7" s="818">
        <f t="shared" ca="1" si="0"/>
        <v>0.14369929223399033</v>
      </c>
    </row>
    <row r="8" spans="1:6" ht="15" customHeight="1" x14ac:dyDescent="0.35">
      <c r="B8" s="815" t="s">
        <v>506</v>
      </c>
      <c r="C8" s="365" t="s">
        <v>62</v>
      </c>
      <c r="D8" s="819">
        <v>26.044309833822332</v>
      </c>
      <c r="E8" s="817">
        <f ca="1">'Outpatient Counseling '!K34</f>
        <v>29.786858723665354</v>
      </c>
      <c r="F8" s="818">
        <f t="shared" ca="1" si="0"/>
        <v>0.14369929223399025</v>
      </c>
    </row>
    <row r="9" spans="1:6" ht="15" customHeight="1" x14ac:dyDescent="0.35">
      <c r="B9" s="820" t="s">
        <v>39</v>
      </c>
      <c r="C9" s="365" t="s">
        <v>40</v>
      </c>
      <c r="D9" s="821">
        <f>'Outpatient Counseling '!F45</f>
        <v>57.876244075160734</v>
      </c>
      <c r="E9" s="822">
        <f ca="1">'Outpatient Counseling '!L45</f>
        <v>66.193019385923009</v>
      </c>
      <c r="F9" s="818">
        <f t="shared" ca="1" si="0"/>
        <v>0.14369929223399033</v>
      </c>
    </row>
    <row r="10" spans="1:6" ht="15" customHeight="1" x14ac:dyDescent="0.35">
      <c r="A10" s="609"/>
      <c r="B10" s="823"/>
      <c r="C10" s="365" t="s">
        <v>43</v>
      </c>
      <c r="D10" s="821">
        <f>'Outpatient Counseling '!F46</f>
        <v>28.938122037580367</v>
      </c>
      <c r="E10" s="822">
        <f ca="1">'Outpatient Counseling '!L46</f>
        <v>33.096509692961504</v>
      </c>
      <c r="F10" s="818">
        <f t="shared" ca="1" si="0"/>
        <v>0.14369929223399033</v>
      </c>
    </row>
    <row r="11" spans="1:6" x14ac:dyDescent="0.35">
      <c r="A11" s="609"/>
      <c r="B11" s="823"/>
      <c r="C11" s="365" t="s">
        <v>46</v>
      </c>
      <c r="D11" s="821">
        <f>'Outpatient Counseling '!F47</f>
        <v>28.938122037580367</v>
      </c>
      <c r="E11" s="822">
        <f ca="1">'Outpatient Counseling '!L47</f>
        <v>33.096509692961504</v>
      </c>
      <c r="F11" s="818">
        <f t="shared" ca="1" si="0"/>
        <v>0.14369929223399033</v>
      </c>
    </row>
    <row r="12" spans="1:6" x14ac:dyDescent="0.35">
      <c r="A12" s="609"/>
      <c r="B12" s="823"/>
      <c r="C12" s="365" t="s">
        <v>49</v>
      </c>
      <c r="D12" s="821">
        <f>'Outpatient Counseling '!F48</f>
        <v>26.044309833822332</v>
      </c>
      <c r="E12" s="822">
        <f ca="1">'Outpatient Counseling '!L48</f>
        <v>29.786858723665354</v>
      </c>
      <c r="F12" s="818">
        <f t="shared" ca="1" si="0"/>
        <v>0.14369929223399025</v>
      </c>
    </row>
    <row r="13" spans="1:6" x14ac:dyDescent="0.35">
      <c r="B13" s="824" t="s">
        <v>51</v>
      </c>
      <c r="C13" s="365" t="s">
        <v>52</v>
      </c>
      <c r="D13" s="821">
        <f>'Outpatient Counseling '!F49</f>
        <v>28.938122037580367</v>
      </c>
      <c r="E13" s="822">
        <f ca="1">'Outpatient Counseling '!L49</f>
        <v>33.096509692961504</v>
      </c>
      <c r="F13" s="818">
        <f t="shared" ca="1" si="0"/>
        <v>0.14369929223399033</v>
      </c>
    </row>
    <row r="14" spans="1:6" x14ac:dyDescent="0.35">
      <c r="A14" s="609"/>
      <c r="B14" s="823"/>
      <c r="C14" s="365" t="s">
        <v>54</v>
      </c>
      <c r="D14" s="821">
        <f>'Outpatient Counseling '!F50</f>
        <v>28.938122037580367</v>
      </c>
      <c r="E14" s="822">
        <f ca="1">'Outpatient Counseling '!L50</f>
        <v>33.096509692961504</v>
      </c>
      <c r="F14" s="818">
        <f t="shared" ca="1" si="0"/>
        <v>0.14369929223399033</v>
      </c>
    </row>
    <row r="15" spans="1:6" x14ac:dyDescent="0.35">
      <c r="A15" s="609"/>
      <c r="B15" s="823"/>
      <c r="C15" s="365" t="s">
        <v>56</v>
      </c>
      <c r="D15" s="821">
        <f>'Outpatient Counseling '!F51</f>
        <v>8.6814366112741101</v>
      </c>
      <c r="E15" s="822">
        <f ca="1">'Outpatient Counseling '!L51</f>
        <v>9.9289529078884513</v>
      </c>
      <c r="F15" s="818">
        <f t="shared" ca="1" si="0"/>
        <v>0.14369929223399033</v>
      </c>
    </row>
    <row r="16" spans="1:6" x14ac:dyDescent="0.35">
      <c r="B16" s="820" t="s">
        <v>58</v>
      </c>
      <c r="C16" s="365" t="s">
        <v>59</v>
      </c>
      <c r="D16" s="821">
        <f>'Outpatient Counseling '!F52</f>
        <v>28.938122037580367</v>
      </c>
      <c r="E16" s="822">
        <f ca="1">'Outpatient Counseling '!L52</f>
        <v>33.096509692961504</v>
      </c>
      <c r="F16" s="818">
        <f t="shared" ca="1" si="0"/>
        <v>0.14369929223399033</v>
      </c>
    </row>
    <row r="17" spans="1:6" x14ac:dyDescent="0.35">
      <c r="B17" s="820"/>
      <c r="C17" s="365" t="s">
        <v>548</v>
      </c>
      <c r="D17" s="821">
        <v>52.09</v>
      </c>
      <c r="E17" s="822">
        <f ca="1">'Outpatient Counseling '!M47</f>
        <v>59.573717447330708</v>
      </c>
      <c r="F17" s="818">
        <f t="shared" ca="1" si="0"/>
        <v>0.1436689853586236</v>
      </c>
    </row>
    <row r="18" spans="1:6" x14ac:dyDescent="0.35">
      <c r="A18" s="609"/>
      <c r="B18" s="823"/>
      <c r="C18" s="365" t="s">
        <v>60</v>
      </c>
      <c r="D18" s="821">
        <f>'Outpatient Counseling '!F53</f>
        <v>115.75248815032147</v>
      </c>
      <c r="E18" s="822">
        <f ca="1">'Outpatient Counseling '!L53</f>
        <v>132.38603877184602</v>
      </c>
      <c r="F18" s="818">
        <f t="shared" ca="1" si="0"/>
        <v>0.14369929223399033</v>
      </c>
    </row>
    <row r="19" spans="1:6" x14ac:dyDescent="0.35">
      <c r="A19" s="610"/>
      <c r="B19" s="825"/>
      <c r="C19" s="810" t="s">
        <v>62</v>
      </c>
      <c r="D19" s="826">
        <f>'Outpatient Counseling '!F54</f>
        <v>26.044309833822332</v>
      </c>
      <c r="E19" s="827">
        <f ca="1">'Outpatient Counseling '!L54</f>
        <v>29.786858723665354</v>
      </c>
      <c r="F19" s="828">
        <f t="shared" ca="1" si="0"/>
        <v>0.14369929223399025</v>
      </c>
    </row>
    <row r="20" spans="1:6" x14ac:dyDescent="0.35">
      <c r="B20" s="809" t="s">
        <v>528</v>
      </c>
      <c r="C20" s="365" t="s">
        <v>541</v>
      </c>
      <c r="D20" s="829">
        <v>18.21</v>
      </c>
      <c r="E20" s="822">
        <f ca="1">'Case Managment'!K22</f>
        <v>23.175146086608894</v>
      </c>
      <c r="F20" s="818">
        <f t="shared" ca="1" si="0"/>
        <v>0.27266041112624345</v>
      </c>
    </row>
    <row r="21" spans="1:6" x14ac:dyDescent="0.35">
      <c r="B21" s="848" t="s">
        <v>529</v>
      </c>
      <c r="C21" s="849" t="s">
        <v>66</v>
      </c>
      <c r="D21" s="850">
        <v>15.88</v>
      </c>
      <c r="E21" s="851"/>
      <c r="F21" s="852"/>
    </row>
    <row r="22" spans="1:6" x14ac:dyDescent="0.35">
      <c r="B22" s="809" t="s">
        <v>68</v>
      </c>
      <c r="C22" s="365" t="s">
        <v>69</v>
      </c>
      <c r="D22" s="829">
        <v>24.05</v>
      </c>
      <c r="E22" s="822">
        <f ca="1">'InHome Therapy'!K26</f>
        <v>29.537107233573952</v>
      </c>
      <c r="F22" s="818">
        <f t="shared" ca="1" si="0"/>
        <v>0.22815414692615182</v>
      </c>
    </row>
    <row r="23" spans="1:6" x14ac:dyDescent="0.35">
      <c r="B23" s="809" t="s">
        <v>530</v>
      </c>
      <c r="C23" s="365" t="s">
        <v>76</v>
      </c>
      <c r="D23" s="829">
        <v>4.6399999999999997</v>
      </c>
      <c r="E23" s="822">
        <f ca="1">Psycho.Ed!L26</f>
        <v>5.504562361118543</v>
      </c>
      <c r="F23" s="818">
        <f t="shared" ca="1" si="0"/>
        <v>0.18632809506865158</v>
      </c>
    </row>
    <row r="24" spans="1:6" x14ac:dyDescent="0.35">
      <c r="B24" s="830" t="s">
        <v>531</v>
      </c>
      <c r="C24" s="810" t="s">
        <v>543</v>
      </c>
      <c r="D24" s="831">
        <v>104.44</v>
      </c>
      <c r="E24" s="822">
        <f ca="1">'Day Treatments'!K25</f>
        <v>130.20664254852935</v>
      </c>
      <c r="F24" s="818">
        <f t="shared" ca="1" si="0"/>
        <v>0.24671239514103166</v>
      </c>
    </row>
    <row r="25" spans="1:6" x14ac:dyDescent="0.35">
      <c r="B25" s="809" t="s">
        <v>532</v>
      </c>
      <c r="E25" s="814"/>
      <c r="F25" s="625"/>
    </row>
    <row r="26" spans="1:6" x14ac:dyDescent="0.35">
      <c r="B26" s="832" t="s">
        <v>310</v>
      </c>
      <c r="D26" s="626">
        <v>39489.320491907274</v>
      </c>
      <c r="E26" s="833">
        <f>'RSC Models'!J18</f>
        <v>40414.183225980421</v>
      </c>
      <c r="F26" s="623">
        <f>(E26-D26)/D26</f>
        <v>2.3420578590677033E-2</v>
      </c>
    </row>
    <row r="27" spans="1:6" x14ac:dyDescent="0.35">
      <c r="B27" s="832" t="s">
        <v>311</v>
      </c>
      <c r="D27" s="626">
        <v>49071.798082902729</v>
      </c>
      <c r="E27" s="833">
        <f>'RSC Models'!J38</f>
        <v>50855.689142068462</v>
      </c>
      <c r="F27" s="623">
        <f>(E27-D27)/D27</f>
        <v>3.635267361004374E-2</v>
      </c>
    </row>
    <row r="28" spans="1:6" x14ac:dyDescent="0.35">
      <c r="B28" s="834" t="s">
        <v>312</v>
      </c>
      <c r="C28" s="810"/>
      <c r="D28" s="835">
        <v>59843.865384098754</v>
      </c>
      <c r="E28" s="836">
        <f>'RSC Models'!J59</f>
        <v>62850.082751899776</v>
      </c>
      <c r="F28" s="837">
        <f>(E28-D28)/D28</f>
        <v>5.0234344798854032E-2</v>
      </c>
    </row>
    <row r="29" spans="1:6" x14ac:dyDescent="0.35">
      <c r="B29" s="809" t="s">
        <v>533</v>
      </c>
      <c r="D29" s="756"/>
      <c r="E29" s="627"/>
      <c r="F29" s="628"/>
    </row>
    <row r="30" spans="1:6" x14ac:dyDescent="0.35">
      <c r="B30" s="832" t="s">
        <v>249</v>
      </c>
      <c r="F30" s="838"/>
    </row>
    <row r="31" spans="1:6" x14ac:dyDescent="0.35">
      <c r="B31" s="839" t="s">
        <v>267</v>
      </c>
      <c r="D31" s="626">
        <v>4131</v>
      </c>
      <c r="E31" s="629">
        <f>'RSC Staff Add on Rates '!C17</f>
        <v>4650.4727164804999</v>
      </c>
      <c r="F31" s="623">
        <f>(E31-D31)/D31</f>
        <v>0.12574987084979422</v>
      </c>
    </row>
    <row r="32" spans="1:6" x14ac:dyDescent="0.35">
      <c r="B32" s="840" t="s">
        <v>274</v>
      </c>
      <c r="D32" s="626">
        <f>'RSC Staff Add on Rates '!C102</f>
        <v>2080.9744776823813</v>
      </c>
      <c r="E32" s="629">
        <f>'RSC Staff Add on Rates '!C50</f>
        <v>2325.23635824025</v>
      </c>
      <c r="F32" s="623">
        <f>(E32-D32)/D32</f>
        <v>0.11737860467654916</v>
      </c>
    </row>
    <row r="33" spans="2:6" x14ac:dyDescent="0.35">
      <c r="B33" s="841" t="s">
        <v>250</v>
      </c>
      <c r="D33" s="842"/>
      <c r="E33" s="629"/>
      <c r="F33" s="623"/>
    </row>
    <row r="34" spans="2:6" x14ac:dyDescent="0.35">
      <c r="B34" s="839" t="s">
        <v>267</v>
      </c>
      <c r="D34" s="626">
        <f>'RSC Staff Add on Rates '!D69</f>
        <v>5205.8867165458641</v>
      </c>
      <c r="E34" s="629">
        <f>'RSC Staff Add on Rates '!D17</f>
        <v>6045.1202309594046</v>
      </c>
      <c r="F34" s="623">
        <f>(E34-D34)/D34</f>
        <v>0.16120856255788385</v>
      </c>
    </row>
    <row r="35" spans="2:6" ht="15" thickBot="1" x14ac:dyDescent="0.4">
      <c r="B35" s="843" t="s">
        <v>274</v>
      </c>
      <c r="C35" s="844"/>
      <c r="D35" s="845">
        <f>'RSC Staff Add on Rates '!D102</f>
        <v>2602.9433582729321</v>
      </c>
      <c r="E35" s="846">
        <f>'RSC Staff Add on Rates '!D50</f>
        <v>3022.5601154797023</v>
      </c>
      <c r="F35" s="847">
        <f>(E35-D35)/D35</f>
        <v>0.16120856255788385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T25"/>
  <sheetViews>
    <sheetView zoomScaleNormal="100" workbookViewId="0">
      <selection activeCell="P31" sqref="P31"/>
    </sheetView>
  </sheetViews>
  <sheetFormatPr defaultColWidth="8.81640625" defaultRowHeight="14.5" x14ac:dyDescent="0.35"/>
  <cols>
    <col min="1" max="1" width="7.7265625" customWidth="1"/>
    <col min="2" max="2" width="5" customWidth="1"/>
    <col min="3" max="3" width="29.1796875" hidden="1" customWidth="1"/>
    <col min="4" max="4" width="8.453125" hidden="1" customWidth="1"/>
    <col min="5" max="5" width="10.453125" hidden="1" customWidth="1"/>
    <col min="6" max="6" width="16.7265625" hidden="1" customWidth="1"/>
    <col min="7" max="7" width="12.26953125" hidden="1" customWidth="1"/>
    <col min="9" max="9" width="18.453125" bestFit="1" customWidth="1"/>
    <col min="10" max="10" width="6.453125" bestFit="1" customWidth="1"/>
    <col min="11" max="11" width="13.81640625" bestFit="1" customWidth="1"/>
    <col min="12" max="12" width="21.26953125" customWidth="1"/>
  </cols>
  <sheetData>
    <row r="1" spans="3:20" ht="24.75" customHeight="1" x14ac:dyDescent="0.35"/>
    <row r="2" spans="3:20" ht="15" thickBot="1" x14ac:dyDescent="0.4">
      <c r="C2" s="1" t="s">
        <v>396</v>
      </c>
      <c r="D2" s="1"/>
      <c r="E2" s="1"/>
      <c r="F2" s="2">
        <v>44927</v>
      </c>
      <c r="I2" s="1"/>
      <c r="J2" s="1"/>
      <c r="K2" s="1"/>
      <c r="L2" s="2"/>
    </row>
    <row r="3" spans="3:20" ht="15" thickBot="1" x14ac:dyDescent="0.4">
      <c r="C3" s="887" t="s">
        <v>536</v>
      </c>
      <c r="D3" s="888"/>
      <c r="E3" s="888"/>
      <c r="F3" s="889"/>
      <c r="I3" s="887" t="s">
        <v>516</v>
      </c>
      <c r="J3" s="890"/>
      <c r="K3" s="890"/>
      <c r="L3" s="891"/>
    </row>
    <row r="4" spans="3:20" x14ac:dyDescent="0.35">
      <c r="C4" s="3" t="s">
        <v>0</v>
      </c>
      <c r="D4" s="4"/>
      <c r="E4" s="5" t="s">
        <v>1</v>
      </c>
      <c r="F4" s="6">
        <v>14</v>
      </c>
      <c r="I4" s="3" t="s">
        <v>0</v>
      </c>
      <c r="J4" s="4"/>
      <c r="K4" s="5" t="s">
        <v>1</v>
      </c>
      <c r="L4" s="6">
        <v>14</v>
      </c>
    </row>
    <row r="5" spans="3:20" ht="15" thickBot="1" x14ac:dyDescent="0.4">
      <c r="C5" s="7"/>
      <c r="D5" s="8"/>
      <c r="E5" s="8" t="s">
        <v>2</v>
      </c>
      <c r="F5" s="9" t="s">
        <v>3</v>
      </c>
      <c r="I5" s="7"/>
      <c r="J5" s="8" t="s">
        <v>252</v>
      </c>
      <c r="K5" s="8" t="s">
        <v>2</v>
      </c>
      <c r="L5" s="9" t="s">
        <v>3</v>
      </c>
    </row>
    <row r="6" spans="3:20" x14ac:dyDescent="0.35">
      <c r="C6" s="10" t="s">
        <v>4</v>
      </c>
      <c r="D6" s="11"/>
      <c r="E6" s="12">
        <v>0.05</v>
      </c>
      <c r="F6" s="13">
        <v>3600</v>
      </c>
      <c r="G6" s="397">
        <f>F6/E6</f>
        <v>72000</v>
      </c>
      <c r="I6" s="10" t="s">
        <v>4</v>
      </c>
      <c r="J6" s="11">
        <f>'Master Lookup'!C4</f>
        <v>80829.631999999998</v>
      </c>
      <c r="K6" s="12">
        <v>0.05</v>
      </c>
      <c r="L6" s="13">
        <f>J6*K6</f>
        <v>4041.4816000000001</v>
      </c>
    </row>
    <row r="7" spans="3:20" x14ac:dyDescent="0.35">
      <c r="C7" s="10" t="s">
        <v>5</v>
      </c>
      <c r="D7" s="11"/>
      <c r="E7" s="14">
        <v>5.3999999999999999E-2</v>
      </c>
      <c r="F7" s="13">
        <v>3195</v>
      </c>
      <c r="G7" s="397">
        <f t="shared" ref="G7:G8" si="0">F7/E7</f>
        <v>59166.666666666664</v>
      </c>
      <c r="I7" s="10" t="s">
        <v>5</v>
      </c>
      <c r="J7" s="11">
        <f>'Master Lookup'!C9</f>
        <v>70211.44</v>
      </c>
      <c r="K7" s="14">
        <v>5.3999999999999999E-2</v>
      </c>
      <c r="L7" s="13">
        <f>J7*K7</f>
        <v>3791.4177600000003</v>
      </c>
      <c r="O7" s="767"/>
      <c r="P7" s="767"/>
      <c r="Q7" s="767"/>
      <c r="R7" s="767"/>
      <c r="S7" s="767"/>
      <c r="T7" s="767"/>
    </row>
    <row r="8" spans="3:20" x14ac:dyDescent="0.35">
      <c r="C8" s="10" t="s">
        <v>6</v>
      </c>
      <c r="D8" s="15"/>
      <c r="E8" s="14">
        <f>1+0.05</f>
        <v>1.05</v>
      </c>
      <c r="F8" s="13">
        <v>50652</v>
      </c>
      <c r="G8" s="397">
        <f t="shared" si="0"/>
        <v>48240</v>
      </c>
      <c r="I8" s="10" t="s">
        <v>250</v>
      </c>
      <c r="J8" s="15">
        <f>'Master Lookup'!C13</f>
        <v>56217.241600000001</v>
      </c>
      <c r="K8" s="14">
        <v>1</v>
      </c>
      <c r="L8" s="13">
        <f>J8*K8</f>
        <v>56217.241600000001</v>
      </c>
      <c r="O8" s="767"/>
      <c r="P8" s="767"/>
      <c r="Q8" s="767"/>
      <c r="R8" s="767"/>
      <c r="S8" s="767"/>
      <c r="T8" s="767"/>
    </row>
    <row r="9" spans="3:20" x14ac:dyDescent="0.35">
      <c r="C9" s="16" t="s">
        <v>7</v>
      </c>
      <c r="D9" s="17">
        <v>0.2422</v>
      </c>
      <c r="E9" s="18"/>
      <c r="F9" s="13">
        <f>SUM(F6:F8)*D9</f>
        <v>13913.663399999999</v>
      </c>
      <c r="I9" s="614" t="s">
        <v>249</v>
      </c>
      <c r="J9" s="615">
        <f>'Master Lookup'!C14</f>
        <v>43247.567999999999</v>
      </c>
      <c r="K9" s="616">
        <v>0.05</v>
      </c>
      <c r="L9" s="617">
        <f>J9*K9</f>
        <v>2162.3784000000001</v>
      </c>
      <c r="O9" s="767"/>
      <c r="P9" s="767"/>
      <c r="Q9" s="767"/>
      <c r="R9" s="767"/>
      <c r="S9" s="767"/>
      <c r="T9" s="767"/>
    </row>
    <row r="10" spans="3:20" x14ac:dyDescent="0.35">
      <c r="C10" s="19" t="s">
        <v>8</v>
      </c>
      <c r="D10" s="20"/>
      <c r="E10" s="21">
        <f>SUM(E6:E9)</f>
        <v>1.1540000000000001</v>
      </c>
      <c r="F10" s="22">
        <f>SUM(F6:F9)</f>
        <v>71360.663400000005</v>
      </c>
      <c r="I10" s="19" t="s">
        <v>8</v>
      </c>
      <c r="J10" s="20"/>
      <c r="K10" s="21">
        <f>SUM(K6:K9)</f>
        <v>1.1540000000000001</v>
      </c>
      <c r="L10" s="22">
        <f>SUM(L6:L9)</f>
        <v>66212.519360000006</v>
      </c>
      <c r="O10" s="767"/>
      <c r="P10" s="767"/>
      <c r="Q10" s="767"/>
      <c r="R10" s="767"/>
      <c r="S10" s="767"/>
      <c r="T10" s="767"/>
    </row>
    <row r="11" spans="3:20" x14ac:dyDescent="0.35">
      <c r="C11" s="23"/>
      <c r="D11" s="24"/>
      <c r="E11" s="25" t="s">
        <v>9</v>
      </c>
      <c r="F11" s="13"/>
      <c r="I11" s="453"/>
      <c r="J11" s="49"/>
      <c r="K11" s="454"/>
      <c r="L11" s="27"/>
      <c r="O11" s="767"/>
      <c r="P11" s="767"/>
      <c r="Q11" s="767"/>
      <c r="R11" s="767"/>
      <c r="S11" s="767"/>
      <c r="T11" s="767"/>
    </row>
    <row r="12" spans="3:20" x14ac:dyDescent="0.35">
      <c r="C12" s="23" t="s">
        <v>329</v>
      </c>
      <c r="D12" s="24"/>
      <c r="E12" s="26">
        <v>14636.330077662853</v>
      </c>
      <c r="F12" s="27">
        <f>E12*E10</f>
        <v>16890.324909622934</v>
      </c>
      <c r="I12" s="613" t="s">
        <v>7</v>
      </c>
      <c r="K12" s="465">
        <f>'Master Lookup'!C20</f>
        <v>0.24970000000000001</v>
      </c>
      <c r="L12" s="13">
        <f>L10*K12</f>
        <v>16533.266084192001</v>
      </c>
      <c r="O12" s="767"/>
      <c r="P12" s="767"/>
      <c r="Q12" s="767"/>
      <c r="R12" s="767"/>
      <c r="S12" s="767"/>
      <c r="T12" s="767"/>
    </row>
    <row r="13" spans="3:20" ht="15" thickBot="1" x14ac:dyDescent="0.4">
      <c r="C13" s="28" t="s">
        <v>10</v>
      </c>
      <c r="D13" s="29">
        <v>0.12</v>
      </c>
      <c r="E13" s="30"/>
      <c r="F13" s="31">
        <f>(F10+F12)*D13</f>
        <v>10590.118597154753</v>
      </c>
      <c r="I13" s="32" t="s">
        <v>498</v>
      </c>
      <c r="J13" s="456"/>
      <c r="K13" s="457"/>
      <c r="L13" s="458">
        <f>SUM(L10:L12)</f>
        <v>82745.785444192006</v>
      </c>
    </row>
    <row r="14" spans="3:20" ht="15" thickTop="1" x14ac:dyDescent="0.35">
      <c r="C14" s="28" t="s">
        <v>11</v>
      </c>
      <c r="D14" s="29">
        <v>1.8521849532574713E-2</v>
      </c>
      <c r="E14" s="30"/>
      <c r="F14" s="31">
        <f>SUM(F10+F12+F13)*D14</f>
        <v>1830.7201097604677</v>
      </c>
      <c r="I14" s="23"/>
      <c r="J14" s="24"/>
      <c r="K14" s="25" t="s">
        <v>9</v>
      </c>
      <c r="L14" s="13"/>
      <c r="N14" s="758"/>
    </row>
    <row r="15" spans="3:20" ht="15" thickBot="1" x14ac:dyDescent="0.4">
      <c r="C15" s="32" t="s">
        <v>12</v>
      </c>
      <c r="D15" s="33"/>
      <c r="E15" s="33"/>
      <c r="F15" s="34">
        <f>F13+F12+F10+F14</f>
        <v>100671.82701653815</v>
      </c>
      <c r="I15" s="23" t="s">
        <v>329</v>
      </c>
      <c r="J15" s="24"/>
      <c r="K15" s="466">
        <f ca="1">'Master Lookup'!C18</f>
        <v>17228.263463673018</v>
      </c>
      <c r="L15" s="13">
        <f ca="1">K15*K10</f>
        <v>19881.416037078667</v>
      </c>
      <c r="N15" s="758"/>
      <c r="T15" s="853"/>
    </row>
    <row r="16" spans="3:20" ht="15" thickTop="1" x14ac:dyDescent="0.35">
      <c r="C16" s="35"/>
      <c r="D16" s="36"/>
      <c r="E16" s="37"/>
      <c r="F16" s="38"/>
      <c r="I16" s="155" t="s">
        <v>499</v>
      </c>
      <c r="J16" s="459"/>
      <c r="K16" s="460"/>
      <c r="L16" s="22">
        <f ca="1">L13+L15</f>
        <v>102627.20148127068</v>
      </c>
    </row>
    <row r="17" spans="3:17" ht="15" thickBot="1" x14ac:dyDescent="0.4">
      <c r="C17" s="39" t="s">
        <v>13</v>
      </c>
      <c r="D17" s="40"/>
      <c r="E17" s="40"/>
      <c r="F17" s="611">
        <f>F15/F4/365</f>
        <v>19.700944621631734</v>
      </c>
      <c r="I17" s="23" t="s">
        <v>10</v>
      </c>
      <c r="K17" s="429">
        <f>'Master Lookup'!C21</f>
        <v>0.12</v>
      </c>
      <c r="L17" s="13">
        <f ca="1">L16*K17</f>
        <v>12315.26417775248</v>
      </c>
      <c r="N17" s="758"/>
      <c r="Q17" s="853"/>
    </row>
    <row r="18" spans="3:17" x14ac:dyDescent="0.35">
      <c r="I18" s="23"/>
      <c r="J18" s="429"/>
      <c r="K18" s="18"/>
      <c r="L18" s="13"/>
    </row>
    <row r="19" spans="3:17" ht="15" thickBot="1" x14ac:dyDescent="0.4">
      <c r="I19" s="461" t="s">
        <v>500</v>
      </c>
      <c r="J19" s="462"/>
      <c r="K19" s="462"/>
      <c r="L19" s="463">
        <f ca="1">L16+L17</f>
        <v>114942.46565902316</v>
      </c>
    </row>
    <row r="20" spans="3:17" ht="15" thickTop="1" x14ac:dyDescent="0.35">
      <c r="I20" s="464" t="s">
        <v>26</v>
      </c>
      <c r="K20" s="36">
        <f>'Master Lookup'!C22</f>
        <v>3.2549514448865162E-2</v>
      </c>
      <c r="L20" s="38">
        <f ca="1">K20*L16</f>
        <v>3340.4655774612161</v>
      </c>
    </row>
    <row r="21" spans="3:17" x14ac:dyDescent="0.35">
      <c r="I21" s="56" t="s">
        <v>500</v>
      </c>
      <c r="J21" s="467"/>
      <c r="K21" s="468"/>
      <c r="L21" s="469">
        <f ca="1">L19+L20</f>
        <v>118282.93123648438</v>
      </c>
    </row>
    <row r="22" spans="3:17" ht="15" thickBot="1" x14ac:dyDescent="0.4">
      <c r="I22" s="7" t="s">
        <v>13</v>
      </c>
      <c r="J22" s="40"/>
      <c r="K22" s="40"/>
      <c r="L22" s="611">
        <f ca="1">L21/L4/365</f>
        <v>23.147344664674044</v>
      </c>
    </row>
    <row r="23" spans="3:17" x14ac:dyDescent="0.35">
      <c r="I23" s="1"/>
      <c r="J23" s="1"/>
    </row>
    <row r="24" spans="3:17" x14ac:dyDescent="0.35">
      <c r="I24" s="1"/>
      <c r="J24" s="1"/>
      <c r="K24" s="1" t="s">
        <v>395</v>
      </c>
      <c r="L24" s="221">
        <v>19.7</v>
      </c>
    </row>
    <row r="25" spans="3:17" x14ac:dyDescent="0.35">
      <c r="K25" s="1" t="s">
        <v>495</v>
      </c>
      <c r="L25" s="410">
        <f ca="1">(L22-L24)/L24</f>
        <v>0.17499211495807335</v>
      </c>
    </row>
  </sheetData>
  <mergeCells count="2">
    <mergeCell ref="C3:F3"/>
    <mergeCell ref="I3:L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56"/>
  <sheetViews>
    <sheetView topLeftCell="A7" zoomScale="85" zoomScaleNormal="85" workbookViewId="0">
      <selection activeCell="R26" sqref="R26"/>
    </sheetView>
  </sheetViews>
  <sheetFormatPr defaultColWidth="9.1796875" defaultRowHeight="12.5" x14ac:dyDescent="0.25"/>
  <cols>
    <col min="1" max="1" width="8.26953125" style="42" customWidth="1"/>
    <col min="2" max="2" width="30.26953125" style="42" customWidth="1"/>
    <col min="3" max="3" width="17.81640625" style="42" customWidth="1"/>
    <col min="4" max="4" width="17.26953125" style="42" customWidth="1"/>
    <col min="5" max="5" width="16.1796875" style="42" customWidth="1"/>
    <col min="6" max="6" width="9.54296875" style="42" customWidth="1"/>
    <col min="7" max="7" width="9.1796875" style="42"/>
    <col min="8" max="8" width="46" style="42" customWidth="1"/>
    <col min="9" max="9" width="18.1796875" style="42" customWidth="1"/>
    <col min="10" max="10" width="36.7265625" style="42" bestFit="1" customWidth="1"/>
    <col min="11" max="11" width="11.81640625" style="42" customWidth="1"/>
    <col min="12" max="16384" width="9.1796875" style="42"/>
  </cols>
  <sheetData>
    <row r="1" spans="1:28" ht="25.5" customHeight="1" thickBot="1" x14ac:dyDescent="0.35">
      <c r="A1" s="1"/>
      <c r="B1" s="1" t="s">
        <v>396</v>
      </c>
      <c r="C1" s="1"/>
      <c r="D1" s="1"/>
      <c r="E1" s="2">
        <v>44927</v>
      </c>
      <c r="F1" s="1"/>
      <c r="H1" s="1" t="s">
        <v>397</v>
      </c>
      <c r="I1" s="1"/>
      <c r="J1" s="1"/>
      <c r="K1" s="2">
        <v>45658</v>
      </c>
      <c r="L1" s="1"/>
    </row>
    <row r="2" spans="1:28" ht="13.5" thickBot="1" x14ac:dyDescent="0.35">
      <c r="A2" s="43"/>
      <c r="B2" s="894" t="s">
        <v>14</v>
      </c>
      <c r="C2" s="895"/>
      <c r="D2" s="895"/>
      <c r="E2" s="896"/>
      <c r="F2" s="43"/>
      <c r="H2" s="894" t="s">
        <v>14</v>
      </c>
      <c r="I2" s="895"/>
      <c r="J2" s="895"/>
      <c r="K2" s="896"/>
      <c r="L2" s="43"/>
    </row>
    <row r="3" spans="1:28" ht="26.5" thickBot="1" x14ac:dyDescent="0.35">
      <c r="A3" s="49"/>
      <c r="B3" s="45" t="s">
        <v>15</v>
      </c>
      <c r="C3" s="46"/>
      <c r="D3" s="47"/>
      <c r="E3" s="48"/>
      <c r="F3" s="49"/>
      <c r="H3" s="45" t="s">
        <v>15</v>
      </c>
      <c r="I3" s="46"/>
      <c r="J3" s="47"/>
      <c r="K3" s="53">
        <f>'Master Lookup'!H12</f>
        <v>1456</v>
      </c>
      <c r="L3" s="49"/>
      <c r="X3" s="438"/>
      <c r="Y3" s="439"/>
      <c r="Z3" s="433" t="s">
        <v>501</v>
      </c>
      <c r="AA3" s="433" t="s">
        <v>502</v>
      </c>
      <c r="AB3" s="434" t="s">
        <v>503</v>
      </c>
    </row>
    <row r="4" spans="1:28" ht="13" x14ac:dyDescent="0.3">
      <c r="A4" s="54"/>
      <c r="B4" s="52"/>
      <c r="C4" s="49" t="s">
        <v>16</v>
      </c>
      <c r="D4" s="49"/>
      <c r="E4" s="53">
        <v>1536</v>
      </c>
      <c r="F4" s="54"/>
      <c r="H4" s="52"/>
      <c r="I4" s="49" t="s">
        <v>16</v>
      </c>
      <c r="J4" s="49"/>
      <c r="L4" s="54"/>
      <c r="X4" s="904" t="s">
        <v>504</v>
      </c>
      <c r="Y4" s="905"/>
      <c r="Z4" s="446">
        <f>E19</f>
        <v>57.846244075160733</v>
      </c>
      <c r="AA4" s="445">
        <f ca="1">K24</f>
        <v>66.193019385923009</v>
      </c>
      <c r="AB4" s="435">
        <f t="shared" ref="AB4:AB16" ca="1" si="0">(AA4-Z4)/Z4</f>
        <v>0.14429243322897767</v>
      </c>
    </row>
    <row r="5" spans="1:28" ht="13" x14ac:dyDescent="0.3">
      <c r="A5" s="43"/>
      <c r="B5" s="56"/>
      <c r="C5" s="57"/>
      <c r="D5" s="57" t="s">
        <v>2</v>
      </c>
      <c r="E5" s="58" t="s">
        <v>3</v>
      </c>
      <c r="F5" s="43"/>
      <c r="H5" s="56"/>
      <c r="I5" s="57"/>
      <c r="J5" s="57" t="s">
        <v>2</v>
      </c>
      <c r="K5" s="58" t="s">
        <v>3</v>
      </c>
      <c r="L5" s="43"/>
      <c r="X5" s="904" t="s">
        <v>505</v>
      </c>
      <c r="Y5" s="905"/>
      <c r="Z5" s="446">
        <f>E32</f>
        <v>8.6814366112741101</v>
      </c>
      <c r="AA5" s="445">
        <f ca="1">K33</f>
        <v>9.9289529078884513</v>
      </c>
      <c r="AB5" s="435">
        <f t="shared" ca="1" si="0"/>
        <v>0.14369929223399033</v>
      </c>
    </row>
    <row r="6" spans="1:28" ht="16.5" customHeight="1" x14ac:dyDescent="0.3">
      <c r="A6" s="63"/>
      <c r="B6" s="59" t="s">
        <v>4</v>
      </c>
      <c r="C6" s="60"/>
      <c r="D6" s="61">
        <v>0.1</v>
      </c>
      <c r="E6" s="62">
        <v>7200.0239999999994</v>
      </c>
      <c r="F6" s="63">
        <f>E6/D6</f>
        <v>72000.239999999991</v>
      </c>
      <c r="H6" s="59" t="s">
        <v>4</v>
      </c>
      <c r="I6" s="60">
        <f>'Master Lookup'!C4</f>
        <v>80829.631999999998</v>
      </c>
      <c r="J6" s="61">
        <v>0.1</v>
      </c>
      <c r="K6" s="62">
        <f>I6*J6</f>
        <v>8082.9632000000001</v>
      </c>
      <c r="L6" s="63"/>
      <c r="N6" s="767"/>
      <c r="O6" s="767"/>
      <c r="P6" s="767"/>
      <c r="Q6" s="767"/>
      <c r="R6" s="767"/>
      <c r="S6" s="767"/>
      <c r="X6" s="904" t="s">
        <v>506</v>
      </c>
      <c r="Y6" s="905"/>
      <c r="Z6" s="447">
        <f>E33</f>
        <v>26.044309833822332</v>
      </c>
      <c r="AA6" s="445">
        <f ca="1">K34</f>
        <v>29.786858723665354</v>
      </c>
      <c r="AB6" s="435">
        <f t="shared" ca="1" si="0"/>
        <v>0.14369929223399025</v>
      </c>
    </row>
    <row r="7" spans="1:28" ht="16.5" customHeight="1" x14ac:dyDescent="0.3">
      <c r="A7" s="63"/>
      <c r="B7" s="59" t="s">
        <v>17</v>
      </c>
      <c r="C7" s="65"/>
      <c r="D7" s="66">
        <f>0.2+1</f>
        <v>1.2</v>
      </c>
      <c r="E7" s="62">
        <v>66288.039999999994</v>
      </c>
      <c r="F7" s="63">
        <f>E7/D7</f>
        <v>55240.033333333333</v>
      </c>
      <c r="H7" s="618" t="s">
        <v>403</v>
      </c>
      <c r="I7" s="619">
        <f>'M2023 BLS Chart'!C18</f>
        <v>83639.712</v>
      </c>
      <c r="J7" s="620">
        <v>0.2</v>
      </c>
      <c r="K7" s="621">
        <f>I7*J7</f>
        <v>16727.9424</v>
      </c>
      <c r="L7" s="63"/>
      <c r="N7" s="767"/>
      <c r="O7" s="767"/>
      <c r="P7" s="767"/>
      <c r="Q7" s="767"/>
      <c r="R7" s="767"/>
      <c r="S7" s="767"/>
      <c r="X7" s="900" t="s">
        <v>39</v>
      </c>
      <c r="Y7" s="901"/>
      <c r="Z7" s="448">
        <f t="shared" ref="Z7:Z16" si="1">F45</f>
        <v>57.876244075160734</v>
      </c>
      <c r="AA7" s="443">
        <f t="shared" ref="AA7:AA16" ca="1" si="2">L45</f>
        <v>66.193019385923009</v>
      </c>
      <c r="AB7" s="435">
        <f t="shared" ca="1" si="0"/>
        <v>0.14369929223399033</v>
      </c>
    </row>
    <row r="8" spans="1:28" ht="16.5" customHeight="1" x14ac:dyDescent="0.3">
      <c r="A8" s="63"/>
      <c r="B8" s="59" t="s">
        <v>18</v>
      </c>
      <c r="C8" s="65"/>
      <c r="D8" s="61">
        <v>0.70499999999999996</v>
      </c>
      <c r="E8" s="62">
        <v>27451.008000000002</v>
      </c>
      <c r="F8" s="63">
        <f t="shared" ref="F8" si="3">E8/D8</f>
        <v>38937.600000000006</v>
      </c>
      <c r="H8" s="618" t="s">
        <v>404</v>
      </c>
      <c r="I8" s="619">
        <f>'M2023 BLS Chart'!C14</f>
        <v>70211.44</v>
      </c>
      <c r="J8" s="620">
        <v>1</v>
      </c>
      <c r="K8" s="621">
        <f>I8*J8</f>
        <v>70211.44</v>
      </c>
      <c r="L8" s="63"/>
      <c r="X8" s="440"/>
      <c r="Y8" s="437"/>
      <c r="Z8" s="448">
        <f t="shared" si="1"/>
        <v>28.938122037580367</v>
      </c>
      <c r="AA8" s="443">
        <f t="shared" ca="1" si="2"/>
        <v>33.096509692961504</v>
      </c>
      <c r="AB8" s="435">
        <f t="shared" ca="1" si="0"/>
        <v>0.14369929223399033</v>
      </c>
    </row>
    <row r="9" spans="1:28" ht="16.5" customHeight="1" thickBot="1" x14ac:dyDescent="0.35">
      <c r="A9" s="63"/>
      <c r="B9" s="67" t="s">
        <v>7</v>
      </c>
      <c r="C9" s="68">
        <v>0.2422</v>
      </c>
      <c r="D9" s="61"/>
      <c r="E9" s="62">
        <f>SUM(E6:E8)*C9</f>
        <v>24447.443238399999</v>
      </c>
      <c r="F9" s="63"/>
      <c r="H9" s="59" t="s">
        <v>249</v>
      </c>
      <c r="I9" s="65">
        <f>'Master Lookup'!C14</f>
        <v>43247.567999999999</v>
      </c>
      <c r="J9" s="61">
        <v>0.5</v>
      </c>
      <c r="K9" s="62">
        <f>I9*J9</f>
        <v>21623.784</v>
      </c>
      <c r="L9" s="63"/>
      <c r="X9" s="440"/>
      <c r="Y9" s="437"/>
      <c r="Z9" s="448">
        <f t="shared" si="1"/>
        <v>28.938122037580367</v>
      </c>
      <c r="AA9" s="443">
        <f t="shared" ca="1" si="2"/>
        <v>33.096509692961504</v>
      </c>
      <c r="AB9" s="435">
        <f t="shared" ca="1" si="0"/>
        <v>0.14369929223399033</v>
      </c>
    </row>
    <row r="10" spans="1:28" ht="16.5" customHeight="1" thickBot="1" x14ac:dyDescent="0.35">
      <c r="A10" s="63"/>
      <c r="B10" s="71" t="s">
        <v>8</v>
      </c>
      <c r="C10" s="72"/>
      <c r="D10" s="73">
        <f>SUM(D6:D8)</f>
        <v>2.0049999999999999</v>
      </c>
      <c r="E10" s="74">
        <f>SUM(E6:E9)</f>
        <v>125386.5152384</v>
      </c>
      <c r="F10" s="75"/>
      <c r="H10" s="414" t="s">
        <v>8</v>
      </c>
      <c r="I10" s="415"/>
      <c r="J10" s="416">
        <f>SUM(J6:J9)</f>
        <v>1.8</v>
      </c>
      <c r="K10" s="417">
        <f>SUM(K6:K9)</f>
        <v>116646.1296</v>
      </c>
      <c r="L10" s="63"/>
      <c r="X10" s="440"/>
      <c r="Y10" s="437"/>
      <c r="Z10" s="448">
        <f t="shared" si="1"/>
        <v>26.044309833822332</v>
      </c>
      <c r="AA10" s="443">
        <f t="shared" ca="1" si="2"/>
        <v>29.786858723665354</v>
      </c>
      <c r="AB10" s="435">
        <f t="shared" ca="1" si="0"/>
        <v>0.14369929223399025</v>
      </c>
    </row>
    <row r="11" spans="1:28" ht="13.5" customHeight="1" x14ac:dyDescent="0.3">
      <c r="A11" s="63"/>
      <c r="B11" s="10"/>
      <c r="C11" s="75" t="s">
        <v>9</v>
      </c>
      <c r="D11" s="75"/>
      <c r="E11" s="76"/>
      <c r="F11" s="75"/>
      <c r="H11" s="426"/>
      <c r="I11" s="150"/>
      <c r="J11" s="427"/>
      <c r="K11" s="428"/>
      <c r="L11" s="63"/>
      <c r="X11" s="902" t="s">
        <v>51</v>
      </c>
      <c r="Y11" s="903"/>
      <c r="Z11" s="448">
        <f t="shared" si="1"/>
        <v>28.938122037580367</v>
      </c>
      <c r="AA11" s="443">
        <f t="shared" ca="1" si="2"/>
        <v>33.096509692961504</v>
      </c>
      <c r="AB11" s="435">
        <f t="shared" ca="1" si="0"/>
        <v>0.14369929223399033</v>
      </c>
    </row>
    <row r="12" spans="1:28" ht="13" x14ac:dyDescent="0.3">
      <c r="A12" s="63"/>
      <c r="B12" s="10" t="s">
        <v>23</v>
      </c>
      <c r="C12" s="77">
        <v>6198.4781475635955</v>
      </c>
      <c r="D12" s="78"/>
      <c r="E12" s="79">
        <f>C12*D10</f>
        <v>12427.948685865009</v>
      </c>
      <c r="F12" s="63"/>
      <c r="H12" s="424" t="s">
        <v>7</v>
      </c>
      <c r="I12" s="422">
        <f>'Master Lookup'!C20</f>
        <v>0.24970000000000001</v>
      </c>
      <c r="J12" s="423"/>
      <c r="K12" s="425">
        <f>K10*I12</f>
        <v>29126.53856112</v>
      </c>
      <c r="L12" s="63"/>
      <c r="X12" s="440"/>
      <c r="Y12" s="437"/>
      <c r="Z12" s="448">
        <f t="shared" si="1"/>
        <v>28.938122037580367</v>
      </c>
      <c r="AA12" s="443">
        <f t="shared" ca="1" si="2"/>
        <v>33.096509692961504</v>
      </c>
      <c r="AB12" s="435">
        <f t="shared" ca="1" si="0"/>
        <v>0.14369929223399033</v>
      </c>
    </row>
    <row r="13" spans="1:28" ht="13.5" thickBot="1" x14ac:dyDescent="0.35">
      <c r="A13" s="75"/>
      <c r="B13" s="80" t="s">
        <v>24</v>
      </c>
      <c r="C13" s="81">
        <v>9000</v>
      </c>
      <c r="D13" s="82"/>
      <c r="E13" s="83">
        <f>C13*D10</f>
        <v>18045</v>
      </c>
      <c r="F13" s="69"/>
      <c r="H13" s="418" t="s">
        <v>498</v>
      </c>
      <c r="I13" s="419"/>
      <c r="J13" s="420"/>
      <c r="K13" s="421">
        <f>SUM(K10:K12)</f>
        <v>145772.66816112</v>
      </c>
      <c r="L13" s="75"/>
      <c r="X13" s="440"/>
      <c r="Y13" s="437"/>
      <c r="Z13" s="448">
        <f t="shared" si="1"/>
        <v>8.6814366112741101</v>
      </c>
      <c r="AA13" s="443">
        <f t="shared" ca="1" si="2"/>
        <v>9.9289529078884513</v>
      </c>
      <c r="AB13" s="435">
        <f t="shared" ca="1" si="0"/>
        <v>0.14369929223399033</v>
      </c>
    </row>
    <row r="14" spans="1:28" ht="13.5" thickTop="1" x14ac:dyDescent="0.3">
      <c r="A14" s="75"/>
      <c r="B14" s="84" t="s">
        <v>25</v>
      </c>
      <c r="C14" s="85"/>
      <c r="D14" s="85"/>
      <c r="E14" s="86">
        <f>SUM(E11:E13)</f>
        <v>30472.948685865009</v>
      </c>
      <c r="F14" s="75"/>
      <c r="H14" s="10"/>
      <c r="I14" s="75" t="s">
        <v>9</v>
      </c>
      <c r="J14" s="75"/>
      <c r="K14" s="76"/>
      <c r="L14" s="75"/>
      <c r="X14" s="900" t="s">
        <v>58</v>
      </c>
      <c r="Y14" s="901"/>
      <c r="Z14" s="448">
        <f t="shared" si="1"/>
        <v>28.938122037580367</v>
      </c>
      <c r="AA14" s="443">
        <f t="shared" ca="1" si="2"/>
        <v>33.096509692961504</v>
      </c>
      <c r="AB14" s="435">
        <f t="shared" ca="1" si="0"/>
        <v>0.14369929223399033</v>
      </c>
    </row>
    <row r="15" spans="1:28" ht="13.5" thickBot="1" x14ac:dyDescent="0.35">
      <c r="A15" s="63"/>
      <c r="B15" s="87" t="s">
        <v>10</v>
      </c>
      <c r="C15" s="88">
        <v>0.12</v>
      </c>
      <c r="D15" s="89"/>
      <c r="E15" s="90">
        <f>(E10+E14)*C15</f>
        <v>18703.135670911801</v>
      </c>
      <c r="F15" s="91"/>
      <c r="H15" s="10" t="s">
        <v>23</v>
      </c>
      <c r="I15" s="77">
        <f ca="1">'UFR FY23 Combined'!E5</f>
        <v>8516.4863039663633</v>
      </c>
      <c r="J15" s="78"/>
      <c r="K15" s="79">
        <f ca="1">I15*J10</f>
        <v>15329.675347139455</v>
      </c>
      <c r="L15" s="63"/>
      <c r="X15" s="440"/>
      <c r="Y15" s="437"/>
      <c r="Z15" s="448">
        <f t="shared" si="1"/>
        <v>115.75248815032147</v>
      </c>
      <c r="AA15" s="443">
        <f t="shared" ca="1" si="2"/>
        <v>132.38603877184602</v>
      </c>
      <c r="AB15" s="435">
        <f t="shared" ca="1" si="0"/>
        <v>0.14369929223399033</v>
      </c>
    </row>
    <row r="16" spans="1:28" ht="14" thickTop="1" thickBot="1" x14ac:dyDescent="0.35">
      <c r="A16" s="69"/>
      <c r="B16" s="84" t="s">
        <v>12</v>
      </c>
      <c r="C16" s="92"/>
      <c r="D16" s="92"/>
      <c r="E16" s="86">
        <f>E10+E14+E15</f>
        <v>174562.59959517681</v>
      </c>
      <c r="F16" s="91"/>
      <c r="H16" s="10" t="s">
        <v>24</v>
      </c>
      <c r="I16" s="77">
        <f ca="1">'UFR FY23 Combined'!AO5</f>
        <v>3410.6245791447127</v>
      </c>
      <c r="J16" s="78"/>
      <c r="K16" s="79">
        <f ca="1">I16*J10</f>
        <v>6139.1242424604834</v>
      </c>
      <c r="L16" s="69"/>
      <c r="X16" s="441"/>
      <c r="Y16" s="442"/>
      <c r="Z16" s="449">
        <f t="shared" si="1"/>
        <v>26.044309833822332</v>
      </c>
      <c r="AA16" s="444">
        <f t="shared" ca="1" si="2"/>
        <v>29.786858723665354</v>
      </c>
      <c r="AB16" s="436">
        <f t="shared" ca="1" si="0"/>
        <v>0.14369929223399025</v>
      </c>
    </row>
    <row r="17" spans="1:12" ht="13.5" thickBot="1" x14ac:dyDescent="0.35">
      <c r="A17" s="75"/>
      <c r="B17" s="10" t="s">
        <v>26</v>
      </c>
      <c r="C17" s="29">
        <v>1.8521849532574713E-2</v>
      </c>
      <c r="D17" s="75"/>
      <c r="E17" s="62">
        <f>(C17+1)*E16</f>
        <v>177795.82179889377</v>
      </c>
      <c r="F17" s="91"/>
      <c r="H17" s="145" t="s">
        <v>499</v>
      </c>
      <c r="I17" s="165"/>
      <c r="J17" s="165"/>
      <c r="K17" s="431">
        <f ca="1">SUM(K13:K16)</f>
        <v>167241.46775071992</v>
      </c>
      <c r="L17" s="75"/>
    </row>
    <row r="18" spans="1:12" ht="13" x14ac:dyDescent="0.3">
      <c r="A18" s="91"/>
      <c r="B18" s="94" t="s">
        <v>28</v>
      </c>
      <c r="C18" s="95"/>
      <c r="D18" s="95"/>
      <c r="E18" s="96">
        <f>(E17)/E4</f>
        <v>115.75248815032147</v>
      </c>
      <c r="F18" s="69"/>
      <c r="H18" s="10" t="s">
        <v>10</v>
      </c>
      <c r="I18" s="429">
        <f>'Master Lookup'!C21</f>
        <v>0.12</v>
      </c>
      <c r="J18" s="75"/>
      <c r="K18" s="62">
        <f ca="1">K17*I18</f>
        <v>20068.97613008639</v>
      </c>
      <c r="L18" s="91"/>
    </row>
    <row r="19" spans="1:12" ht="13.5" thickBot="1" x14ac:dyDescent="0.35">
      <c r="A19" s="91"/>
      <c r="B19" s="97" t="s">
        <v>29</v>
      </c>
      <c r="C19" s="98"/>
      <c r="D19" s="99"/>
      <c r="E19" s="100">
        <f>E18*0.5-0.03</f>
        <v>57.846244075160733</v>
      </c>
      <c r="F19" s="63"/>
      <c r="H19" s="10"/>
      <c r="I19" s="429"/>
      <c r="J19" s="75"/>
      <c r="K19" s="62"/>
      <c r="L19" s="91"/>
    </row>
    <row r="20" spans="1:12" ht="13.5" thickBot="1" x14ac:dyDescent="0.35">
      <c r="A20" s="91"/>
      <c r="B20" s="75"/>
      <c r="C20" s="75"/>
      <c r="D20" s="101"/>
      <c r="E20" s="75"/>
      <c r="F20" s="69"/>
      <c r="H20" s="432" t="s">
        <v>12</v>
      </c>
      <c r="I20" s="430"/>
      <c r="J20" s="430"/>
      <c r="K20" s="421">
        <f ca="1">K17+K18</f>
        <v>187310.44388080633</v>
      </c>
      <c r="L20" s="91"/>
    </row>
    <row r="21" spans="1:12" ht="13.5" thickTop="1" x14ac:dyDescent="0.3">
      <c r="A21" s="91"/>
      <c r="B21" s="50"/>
      <c r="C21" s="50"/>
      <c r="D21" s="106"/>
      <c r="E21" s="107"/>
      <c r="F21" s="102"/>
      <c r="H21" s="10" t="s">
        <v>26</v>
      </c>
      <c r="I21" s="429">
        <f>'Master Lookup'!C22</f>
        <v>3.2549514448865162E-2</v>
      </c>
      <c r="J21" s="75"/>
      <c r="K21" s="62">
        <f ca="1">I21*K17</f>
        <v>5443.6285710014754</v>
      </c>
      <c r="L21" s="91"/>
    </row>
    <row r="22" spans="1:12" ht="13.5" customHeight="1" thickBot="1" x14ac:dyDescent="0.35">
      <c r="A22" s="91"/>
      <c r="F22" s="111"/>
      <c r="H22" s="10" t="s">
        <v>500</v>
      </c>
      <c r="I22" s="429"/>
      <c r="J22" s="75"/>
      <c r="K22" s="62">
        <f ca="1">SUM(K20:K21)</f>
        <v>192754.07245180779</v>
      </c>
      <c r="L22" s="91"/>
    </row>
    <row r="23" spans="1:12" ht="12.75" customHeight="1" x14ac:dyDescent="0.3">
      <c r="A23" s="69"/>
      <c r="F23" s="70"/>
      <c r="H23" s="94" t="s">
        <v>28</v>
      </c>
      <c r="I23" s="95"/>
      <c r="J23" s="95"/>
      <c r="K23" s="96">
        <f ca="1">K22/K3</f>
        <v>132.38603877184602</v>
      </c>
      <c r="L23" s="69"/>
    </row>
    <row r="24" spans="1:12" ht="13.5" customHeight="1" thickBot="1" x14ac:dyDescent="0.35">
      <c r="A24" s="63"/>
      <c r="F24" s="112"/>
      <c r="H24" s="97" t="s">
        <v>29</v>
      </c>
      <c r="I24" s="98" t="s">
        <v>40</v>
      </c>
      <c r="J24" s="99"/>
      <c r="K24" s="100">
        <f ca="1">K23*0.5</f>
        <v>66.193019385923009</v>
      </c>
      <c r="L24" s="63"/>
    </row>
    <row r="25" spans="1:12" ht="12.75" customHeight="1" x14ac:dyDescent="0.3">
      <c r="A25" s="69"/>
      <c r="F25" s="70"/>
      <c r="H25" s="75"/>
      <c r="I25" s="75"/>
      <c r="J25" s="106"/>
      <c r="K25" s="478"/>
      <c r="L25" s="69"/>
    </row>
    <row r="26" spans="1:12" ht="12.75" customHeight="1" thickBot="1" x14ac:dyDescent="0.35">
      <c r="A26" s="102"/>
      <c r="B26" s="110" t="s">
        <v>30</v>
      </c>
      <c r="C26" s="70"/>
      <c r="D26" s="70"/>
      <c r="E26" s="70"/>
      <c r="F26" s="120"/>
      <c r="H26" s="50"/>
      <c r="I26" s="50"/>
      <c r="J26" s="70" t="s">
        <v>495</v>
      </c>
      <c r="K26" s="158">
        <f ca="1">(K24-E19)/E19</f>
        <v>0.14429243322897767</v>
      </c>
      <c r="L26" s="102"/>
    </row>
    <row r="27" spans="1:12" ht="13.5" thickBot="1" x14ac:dyDescent="0.35">
      <c r="A27" s="111"/>
      <c r="B27" s="411" t="s">
        <v>31</v>
      </c>
      <c r="C27" s="412"/>
      <c r="D27" s="412"/>
      <c r="E27" s="413"/>
      <c r="F27" s="125"/>
      <c r="H27" s="110" t="s">
        <v>30</v>
      </c>
      <c r="I27" s="70"/>
      <c r="L27" s="111"/>
    </row>
    <row r="28" spans="1:12" ht="14" thickBot="1" x14ac:dyDescent="0.35">
      <c r="A28" s="70"/>
      <c r="B28" s="113" t="s">
        <v>539</v>
      </c>
      <c r="C28" s="897" t="s">
        <v>32</v>
      </c>
      <c r="D28" s="898"/>
      <c r="E28" s="114">
        <f>E4</f>
        <v>1536</v>
      </c>
      <c r="F28" s="129"/>
      <c r="H28" s="411" t="s">
        <v>31</v>
      </c>
      <c r="I28" s="412"/>
      <c r="J28" s="412"/>
      <c r="K28" s="413"/>
      <c r="L28" s="70"/>
    </row>
    <row r="29" spans="1:12" ht="16.5" customHeight="1" x14ac:dyDescent="0.3">
      <c r="A29" s="112"/>
      <c r="B29" s="892" t="s">
        <v>33</v>
      </c>
      <c r="C29" s="893"/>
      <c r="D29" s="115"/>
      <c r="E29" s="116">
        <f>E18</f>
        <v>115.75248815032147</v>
      </c>
      <c r="F29" s="129" t="s">
        <v>496</v>
      </c>
      <c r="H29" s="113" t="s">
        <v>540</v>
      </c>
      <c r="I29" s="897" t="s">
        <v>32</v>
      </c>
      <c r="J29" s="899"/>
      <c r="K29" s="450">
        <f>K3</f>
        <v>1456</v>
      </c>
      <c r="L29" s="112"/>
    </row>
    <row r="30" spans="1:12" ht="16.5" customHeight="1" x14ac:dyDescent="0.3">
      <c r="A30" s="70"/>
      <c r="B30" s="117" t="s">
        <v>38</v>
      </c>
      <c r="C30" s="118"/>
      <c r="D30" s="118"/>
      <c r="E30" s="119">
        <f>E29*1.5</f>
        <v>173.6287322254822</v>
      </c>
      <c r="F30" s="132"/>
      <c r="H30" s="892" t="s">
        <v>33</v>
      </c>
      <c r="I30" s="893"/>
      <c r="J30" s="115"/>
      <c r="K30" s="622">
        <f ca="1">K23</f>
        <v>132.38603877184602</v>
      </c>
      <c r="L30" s="70"/>
    </row>
    <row r="31" spans="1:12" ht="16.5" customHeight="1" thickBot="1" x14ac:dyDescent="0.35">
      <c r="A31" s="120"/>
      <c r="B31" s="122" t="s">
        <v>42</v>
      </c>
      <c r="C31" s="123"/>
      <c r="D31" s="123"/>
      <c r="E31" s="124">
        <f>E30/5</f>
        <v>34.725746445096441</v>
      </c>
      <c r="F31" s="132"/>
      <c r="H31" s="117" t="s">
        <v>38</v>
      </c>
      <c r="I31" s="118"/>
      <c r="J31" s="118"/>
      <c r="K31" s="451">
        <f ca="1">K30*1.5</f>
        <v>198.57905815776903</v>
      </c>
      <c r="L31" s="120"/>
    </row>
    <row r="32" spans="1:12" ht="16.5" customHeight="1" thickBot="1" x14ac:dyDescent="0.35">
      <c r="A32" s="125"/>
      <c r="B32" s="126" t="s">
        <v>45</v>
      </c>
      <c r="C32" s="127" t="s">
        <v>56</v>
      </c>
      <c r="D32" s="127"/>
      <c r="E32" s="128">
        <f>E31*0.25</f>
        <v>8.6814366112741101</v>
      </c>
      <c r="F32" s="93"/>
      <c r="H32" s="122" t="s">
        <v>42</v>
      </c>
      <c r="I32" s="123"/>
      <c r="J32" s="123"/>
      <c r="K32" s="452">
        <f ca="1">K31/5</f>
        <v>39.715811631553805</v>
      </c>
      <c r="L32" s="125"/>
    </row>
    <row r="33" spans="1:14" ht="16.5" customHeight="1" thickBot="1" x14ac:dyDescent="0.35">
      <c r="A33" s="129"/>
      <c r="B33" s="130" t="s">
        <v>48</v>
      </c>
      <c r="C33" s="131" t="s">
        <v>62</v>
      </c>
      <c r="D33" s="131"/>
      <c r="E33" s="128">
        <f>E32*3</f>
        <v>26.044309833822332</v>
      </c>
      <c r="H33" s="126" t="s">
        <v>45</v>
      </c>
      <c r="I33" s="127" t="s">
        <v>56</v>
      </c>
      <c r="J33" s="127"/>
      <c r="K33" s="128">
        <f ca="1">K32*0.25</f>
        <v>9.9289529078884513</v>
      </c>
      <c r="L33" s="129"/>
    </row>
    <row r="34" spans="1:14" ht="13.5" thickBot="1" x14ac:dyDescent="0.35">
      <c r="A34" s="129"/>
      <c r="H34" s="130" t="s">
        <v>48</v>
      </c>
      <c r="I34" s="131" t="s">
        <v>62</v>
      </c>
      <c r="J34" s="131"/>
      <c r="K34" s="128">
        <f ca="1">K33*3</f>
        <v>29.786858723665354</v>
      </c>
      <c r="L34" s="129"/>
    </row>
    <row r="35" spans="1:14" ht="13" x14ac:dyDescent="0.3">
      <c r="A35" s="129"/>
      <c r="H35" s="93"/>
      <c r="I35" s="93"/>
      <c r="J35" s="93"/>
      <c r="K35" s="93"/>
      <c r="L35" s="132"/>
    </row>
    <row r="36" spans="1:14" ht="13" x14ac:dyDescent="0.3">
      <c r="A36" s="129"/>
      <c r="H36" s="93"/>
      <c r="I36" s="93"/>
      <c r="J36" s="93"/>
      <c r="K36" s="93"/>
      <c r="L36" s="132"/>
    </row>
    <row r="37" spans="1:14" ht="13" x14ac:dyDescent="0.3">
      <c r="A37" s="129"/>
      <c r="H37" s="93"/>
      <c r="I37" s="93"/>
      <c r="J37" s="93"/>
      <c r="K37" s="93"/>
      <c r="L37" s="132"/>
    </row>
    <row r="38" spans="1:14" ht="13" x14ac:dyDescent="0.3">
      <c r="A38" s="129"/>
      <c r="H38" s="93"/>
      <c r="I38" s="93"/>
      <c r="J38" s="93"/>
      <c r="K38" s="93"/>
      <c r="L38" s="132"/>
    </row>
    <row r="39" spans="1:14" ht="13" x14ac:dyDescent="0.3">
      <c r="A39" s="129"/>
      <c r="H39" s="93"/>
      <c r="I39" s="93"/>
      <c r="J39" s="93"/>
      <c r="K39" s="93"/>
      <c r="L39" s="132"/>
    </row>
    <row r="40" spans="1:14" ht="13" x14ac:dyDescent="0.3">
      <c r="A40" s="129"/>
      <c r="H40" s="93"/>
      <c r="I40" s="93"/>
      <c r="J40" s="93"/>
      <c r="K40" s="93"/>
      <c r="L40" s="132"/>
    </row>
    <row r="41" spans="1:14" ht="13" x14ac:dyDescent="0.3">
      <c r="A41" s="129"/>
      <c r="H41" s="93"/>
      <c r="I41" s="93"/>
      <c r="J41" s="93"/>
      <c r="K41" s="93"/>
      <c r="L41" s="132"/>
    </row>
    <row r="42" spans="1:14" ht="13" x14ac:dyDescent="0.3">
      <c r="A42" s="137"/>
      <c r="H42" s="93"/>
      <c r="I42" s="93"/>
      <c r="J42" s="93"/>
      <c r="K42" s="93"/>
      <c r="L42" s="132"/>
    </row>
    <row r="43" spans="1:14" ht="13" x14ac:dyDescent="0.3">
      <c r="A43" s="137"/>
      <c r="F43" s="140"/>
    </row>
    <row r="44" spans="1:14" ht="13" x14ac:dyDescent="0.3">
      <c r="A44" s="137"/>
      <c r="B44" s="133" t="s">
        <v>34</v>
      </c>
      <c r="C44" s="133" t="s">
        <v>35</v>
      </c>
      <c r="D44" s="133" t="s">
        <v>36</v>
      </c>
      <c r="E44" s="133"/>
      <c r="F44" s="133" t="s">
        <v>37</v>
      </c>
      <c r="H44" s="133" t="s">
        <v>34</v>
      </c>
      <c r="I44" s="133" t="s">
        <v>35</v>
      </c>
      <c r="J44" s="133" t="s">
        <v>36</v>
      </c>
      <c r="K44" s="133"/>
      <c r="L44" s="133" t="s">
        <v>37</v>
      </c>
      <c r="N44" s="158">
        <f t="shared" ref="N44:N53" ca="1" si="4">(L45-F45)/F45</f>
        <v>0.14369929223399033</v>
      </c>
    </row>
    <row r="45" spans="1:14" ht="13" x14ac:dyDescent="0.3">
      <c r="A45" s="137"/>
      <c r="B45" s="134" t="s">
        <v>39</v>
      </c>
      <c r="C45" s="135" t="s">
        <v>40</v>
      </c>
      <c r="D45" s="136" t="s">
        <v>41</v>
      </c>
      <c r="E45" s="136"/>
      <c r="F45" s="137">
        <f>E29*0.5</f>
        <v>57.876244075160734</v>
      </c>
      <c r="H45" s="134" t="s">
        <v>39</v>
      </c>
      <c r="I45" s="135" t="s">
        <v>40</v>
      </c>
      <c r="J45" s="136" t="s">
        <v>41</v>
      </c>
      <c r="K45" s="136"/>
      <c r="L45" s="137">
        <f ca="1">K30*0.5</f>
        <v>66.193019385923009</v>
      </c>
      <c r="N45" s="158">
        <f t="shared" ca="1" si="4"/>
        <v>0.14369929223399033</v>
      </c>
    </row>
    <row r="46" spans="1:14" ht="13" x14ac:dyDescent="0.3">
      <c r="A46" s="137"/>
      <c r="B46" s="136"/>
      <c r="C46" s="135" t="s">
        <v>43</v>
      </c>
      <c r="D46" s="136" t="s">
        <v>44</v>
      </c>
      <c r="E46" s="136"/>
      <c r="F46" s="137">
        <f>E29*0.25</f>
        <v>28.938122037580367</v>
      </c>
      <c r="H46" s="136"/>
      <c r="I46" s="135" t="s">
        <v>43</v>
      </c>
      <c r="J46" s="136" t="s">
        <v>44</v>
      </c>
      <c r="K46" s="136"/>
      <c r="L46" s="137">
        <f ca="1">K30*0.25</f>
        <v>33.096509692961504</v>
      </c>
      <c r="N46" s="158">
        <f t="shared" ca="1" si="4"/>
        <v>0.14369929223399033</v>
      </c>
    </row>
    <row r="47" spans="1:14" ht="13" x14ac:dyDescent="0.3">
      <c r="A47" s="139"/>
      <c r="B47" s="136"/>
      <c r="C47" s="135" t="s">
        <v>46</v>
      </c>
      <c r="D47" s="136" t="s">
        <v>47</v>
      </c>
      <c r="E47" s="136"/>
      <c r="F47" s="137">
        <f>E29*0.25</f>
        <v>28.938122037580367</v>
      </c>
      <c r="H47" s="136"/>
      <c r="I47" s="135" t="s">
        <v>46</v>
      </c>
      <c r="J47" s="136" t="s">
        <v>47</v>
      </c>
      <c r="K47" s="136"/>
      <c r="L47" s="137">
        <f ca="1">K30*0.25</f>
        <v>33.096509692961504</v>
      </c>
      <c r="M47" s="757">
        <f ca="1">L48*2</f>
        <v>59.573717447330708</v>
      </c>
      <c r="N47" s="158">
        <f t="shared" ca="1" si="4"/>
        <v>0.14369929223399025</v>
      </c>
    </row>
    <row r="48" spans="1:14" ht="13" x14ac:dyDescent="0.3">
      <c r="A48" s="140"/>
      <c r="B48" s="136"/>
      <c r="C48" s="135" t="s">
        <v>49</v>
      </c>
      <c r="D48" s="136" t="s">
        <v>50</v>
      </c>
      <c r="E48" s="136"/>
      <c r="F48" s="137">
        <f>E33</f>
        <v>26.044309833822332</v>
      </c>
      <c r="G48" s="757">
        <f>F48*2</f>
        <v>52.088619667644664</v>
      </c>
      <c r="H48" s="136"/>
      <c r="I48" s="135" t="s">
        <v>49</v>
      </c>
      <c r="J48" s="136" t="s">
        <v>50</v>
      </c>
      <c r="K48" s="136"/>
      <c r="L48" s="137">
        <f ca="1">K34</f>
        <v>29.786858723665354</v>
      </c>
      <c r="N48" s="158">
        <f t="shared" ca="1" si="4"/>
        <v>0.14369929223399033</v>
      </c>
    </row>
    <row r="49" spans="1:14" ht="13" x14ac:dyDescent="0.3">
      <c r="A49" s="138"/>
      <c r="B49" s="134" t="s">
        <v>51</v>
      </c>
      <c r="C49" s="135" t="s">
        <v>52</v>
      </c>
      <c r="D49" s="136" t="s">
        <v>53</v>
      </c>
      <c r="E49" s="136"/>
      <c r="F49" s="137">
        <f>F46</f>
        <v>28.938122037580367</v>
      </c>
      <c r="H49" s="134" t="s">
        <v>51</v>
      </c>
      <c r="I49" s="135" t="s">
        <v>52</v>
      </c>
      <c r="J49" s="136" t="s">
        <v>53</v>
      </c>
      <c r="K49" s="136"/>
      <c r="L49" s="137">
        <f ca="1">L46</f>
        <v>33.096509692961504</v>
      </c>
      <c r="N49" s="158">
        <f t="shared" ca="1" si="4"/>
        <v>0.14369929223399033</v>
      </c>
    </row>
    <row r="50" spans="1:14" ht="13" x14ac:dyDescent="0.3">
      <c r="A50" s="70"/>
      <c r="B50" s="136"/>
      <c r="C50" s="135" t="s">
        <v>54</v>
      </c>
      <c r="D50" s="136" t="s">
        <v>55</v>
      </c>
      <c r="E50" s="136"/>
      <c r="F50" s="137">
        <f>F46</f>
        <v>28.938122037580367</v>
      </c>
      <c r="H50" s="136"/>
      <c r="I50" s="135" t="s">
        <v>54</v>
      </c>
      <c r="J50" s="136" t="s">
        <v>55</v>
      </c>
      <c r="K50" s="136"/>
      <c r="L50" s="137">
        <f ca="1">L46</f>
        <v>33.096509692961504</v>
      </c>
      <c r="N50" s="158">
        <f t="shared" ca="1" si="4"/>
        <v>0.14369929223399033</v>
      </c>
    </row>
    <row r="51" spans="1:14" ht="13" x14ac:dyDescent="0.3">
      <c r="B51" s="136"/>
      <c r="C51" s="135" t="s">
        <v>56</v>
      </c>
      <c r="D51" s="136" t="s">
        <v>57</v>
      </c>
      <c r="E51" s="136"/>
      <c r="F51" s="137">
        <f>E32</f>
        <v>8.6814366112741101</v>
      </c>
      <c r="H51" s="136"/>
      <c r="I51" s="135" t="s">
        <v>56</v>
      </c>
      <c r="J51" s="136" t="s">
        <v>57</v>
      </c>
      <c r="K51" s="136"/>
      <c r="L51" s="137">
        <f ca="1">K33</f>
        <v>9.9289529078884513</v>
      </c>
      <c r="N51" s="158">
        <f t="shared" ca="1" si="4"/>
        <v>0.14369929223399033</v>
      </c>
    </row>
    <row r="52" spans="1:14" ht="13" x14ac:dyDescent="0.3">
      <c r="B52" s="134" t="s">
        <v>58</v>
      </c>
      <c r="C52" s="135" t="s">
        <v>59</v>
      </c>
      <c r="D52" s="136" t="s">
        <v>47</v>
      </c>
      <c r="E52" s="136"/>
      <c r="F52" s="137">
        <f>F47</f>
        <v>28.938122037580367</v>
      </c>
      <c r="H52" s="134" t="s">
        <v>58</v>
      </c>
      <c r="I52" s="135" t="s">
        <v>59</v>
      </c>
      <c r="J52" s="136" t="s">
        <v>47</v>
      </c>
      <c r="K52" s="136"/>
      <c r="L52" s="137">
        <f ca="1">L47</f>
        <v>33.096509692961504</v>
      </c>
      <c r="N52" s="158">
        <f t="shared" ca="1" si="4"/>
        <v>0.14369929223399033</v>
      </c>
    </row>
    <row r="53" spans="1:14" ht="13" x14ac:dyDescent="0.3">
      <c r="B53" s="136"/>
      <c r="C53" s="135" t="s">
        <v>60</v>
      </c>
      <c r="D53" s="136" t="s">
        <v>61</v>
      </c>
      <c r="E53" s="136"/>
      <c r="F53" s="137">
        <f>E29</f>
        <v>115.75248815032147</v>
      </c>
      <c r="H53" s="136"/>
      <c r="I53" s="135" t="s">
        <v>60</v>
      </c>
      <c r="J53" s="136" t="s">
        <v>61</v>
      </c>
      <c r="K53" s="136"/>
      <c r="L53" s="137">
        <f ca="1">K30</f>
        <v>132.38603877184602</v>
      </c>
      <c r="N53" s="158">
        <f t="shared" ca="1" si="4"/>
        <v>0.14369929223399025</v>
      </c>
    </row>
    <row r="54" spans="1:14" ht="13" x14ac:dyDescent="0.3">
      <c r="B54" s="136"/>
      <c r="C54" s="135" t="s">
        <v>62</v>
      </c>
      <c r="D54" s="136" t="s">
        <v>50</v>
      </c>
      <c r="E54" s="136"/>
      <c r="F54" s="137">
        <f>E33</f>
        <v>26.044309833822332</v>
      </c>
      <c r="H54" s="136"/>
      <c r="I54" s="135" t="s">
        <v>62</v>
      </c>
      <c r="J54" s="136" t="s">
        <v>50</v>
      </c>
      <c r="K54" s="136"/>
      <c r="L54" s="137">
        <f ca="1">K34</f>
        <v>29.786858723665354</v>
      </c>
    </row>
    <row r="56" spans="1:14" ht="13" x14ac:dyDescent="0.3">
      <c r="B56" s="138"/>
      <c r="C56" s="138"/>
      <c r="D56" s="138"/>
      <c r="E56" s="138"/>
      <c r="F56" s="139"/>
    </row>
  </sheetData>
  <mergeCells count="12">
    <mergeCell ref="X7:Y7"/>
    <mergeCell ref="X11:Y11"/>
    <mergeCell ref="X14:Y14"/>
    <mergeCell ref="X4:Y4"/>
    <mergeCell ref="X5:Y5"/>
    <mergeCell ref="X6:Y6"/>
    <mergeCell ref="H30:I30"/>
    <mergeCell ref="B2:E2"/>
    <mergeCell ref="C28:D28"/>
    <mergeCell ref="B29:C29"/>
    <mergeCell ref="H2:K2"/>
    <mergeCell ref="I29:J29"/>
  </mergeCells>
  <pageMargins left="0.25" right="0.25" top="0.75" bottom="0.75" header="0.3" footer="0.3"/>
  <pageSetup scale="71" fitToHeight="0" orientation="landscape" cellComments="asDisplayed" r:id="rId1"/>
  <headerFooter>
    <oddFooter>&amp;A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4"/>
  <sheetViews>
    <sheetView workbookViewId="0">
      <selection activeCell="Q21" sqref="Q21"/>
    </sheetView>
  </sheetViews>
  <sheetFormatPr defaultColWidth="8.81640625" defaultRowHeight="14.5" x14ac:dyDescent="0.35"/>
  <cols>
    <col min="2" max="2" width="20.81640625" customWidth="1"/>
    <col min="3" max="3" width="11" customWidth="1"/>
    <col min="4" max="4" width="10.7265625" customWidth="1"/>
    <col min="5" max="5" width="16.453125" customWidth="1"/>
    <col min="6" max="6" width="11.453125" bestFit="1" customWidth="1"/>
    <col min="8" max="8" width="23.81640625" customWidth="1"/>
    <col min="9" max="9" width="15.1796875" customWidth="1"/>
    <col min="11" max="11" width="13.453125" customWidth="1"/>
  </cols>
  <sheetData>
    <row r="1" spans="2:11" ht="35.25" customHeight="1" thickBot="1" x14ac:dyDescent="0.4">
      <c r="B1" s="1" t="s">
        <v>396</v>
      </c>
      <c r="C1" s="1"/>
      <c r="D1" s="1"/>
      <c r="E1" s="2">
        <v>44927</v>
      </c>
      <c r="H1" s="1"/>
      <c r="I1" s="1"/>
      <c r="J1" s="1"/>
      <c r="K1" s="2"/>
    </row>
    <row r="2" spans="2:11" x14ac:dyDescent="0.35">
      <c r="B2" s="906" t="s">
        <v>63</v>
      </c>
      <c r="C2" s="907"/>
      <c r="D2" s="907"/>
      <c r="E2" s="908"/>
      <c r="H2" s="906" t="s">
        <v>63</v>
      </c>
      <c r="I2" s="907"/>
      <c r="J2" s="907"/>
      <c r="K2" s="908"/>
    </row>
    <row r="3" spans="2:11" x14ac:dyDescent="0.35">
      <c r="B3" s="52"/>
      <c r="C3" s="49" t="s">
        <v>16</v>
      </c>
      <c r="D3" s="49"/>
      <c r="E3" s="53">
        <v>1536</v>
      </c>
      <c r="H3" s="52"/>
      <c r="I3" s="49" t="s">
        <v>16</v>
      </c>
      <c r="J3" s="49"/>
      <c r="K3" s="53">
        <v>1536</v>
      </c>
    </row>
    <row r="4" spans="2:11" x14ac:dyDescent="0.35">
      <c r="B4" s="56"/>
      <c r="C4" s="57"/>
      <c r="D4" s="57" t="s">
        <v>2</v>
      </c>
      <c r="E4" s="58" t="s">
        <v>3</v>
      </c>
      <c r="H4" s="56"/>
      <c r="I4" s="57"/>
      <c r="J4" s="57" t="s">
        <v>2</v>
      </c>
      <c r="K4" s="58" t="s">
        <v>3</v>
      </c>
    </row>
    <row r="5" spans="2:11" x14ac:dyDescent="0.35">
      <c r="B5" s="59" t="s">
        <v>4</v>
      </c>
      <c r="C5" s="60"/>
      <c r="D5" s="61">
        <v>0.1</v>
      </c>
      <c r="E5" s="62">
        <v>7200.0239999999994</v>
      </c>
      <c r="F5" s="397">
        <f>E5/D5</f>
        <v>72000.239999999991</v>
      </c>
      <c r="H5" s="59" t="s">
        <v>4</v>
      </c>
      <c r="I5" s="60">
        <f>'Master Lookup'!C4</f>
        <v>80829.631999999998</v>
      </c>
      <c r="J5" s="61">
        <v>0.1</v>
      </c>
      <c r="K5" s="62">
        <f>I5*J5</f>
        <v>8082.9632000000001</v>
      </c>
    </row>
    <row r="6" spans="2:11" x14ac:dyDescent="0.35">
      <c r="B6" s="59" t="s">
        <v>64</v>
      </c>
      <c r="C6" s="65"/>
      <c r="D6" s="66">
        <v>1</v>
      </c>
      <c r="E6" s="62">
        <v>49233.600000000006</v>
      </c>
      <c r="F6" s="397">
        <f t="shared" ref="F6:F7" si="0">E6/D6</f>
        <v>49233.600000000006</v>
      </c>
      <c r="H6" s="59" t="s">
        <v>64</v>
      </c>
      <c r="I6" s="65">
        <f>'Master Lookup'!C10</f>
        <v>64438.399999999994</v>
      </c>
      <c r="J6" s="66">
        <v>1</v>
      </c>
      <c r="K6" s="62">
        <f>I6*J6</f>
        <v>64438.399999999994</v>
      </c>
    </row>
    <row r="7" spans="2:11" x14ac:dyDescent="0.35">
      <c r="B7" s="59" t="s">
        <v>18</v>
      </c>
      <c r="C7" s="65"/>
      <c r="D7" s="61">
        <v>0.3</v>
      </c>
      <c r="E7" s="62">
        <v>11681.279999999999</v>
      </c>
      <c r="F7" s="397">
        <f t="shared" si="0"/>
        <v>38937.599999999999</v>
      </c>
      <c r="H7" s="59" t="s">
        <v>249</v>
      </c>
      <c r="I7" s="65">
        <f>'Master Lookup'!C14</f>
        <v>43247.567999999999</v>
      </c>
      <c r="J7" s="61">
        <v>0.3</v>
      </c>
      <c r="K7" s="62">
        <f>I7*J7</f>
        <v>12974.270399999999</v>
      </c>
    </row>
    <row r="8" spans="2:11" x14ac:dyDescent="0.35">
      <c r="B8" s="67" t="s">
        <v>7</v>
      </c>
      <c r="C8" s="68">
        <v>0.2422</v>
      </c>
      <c r="D8" s="61"/>
      <c r="E8" s="62">
        <f>SUM(E5:E7)*C8</f>
        <v>16497.429748800001</v>
      </c>
      <c r="H8" s="474" t="s">
        <v>8</v>
      </c>
      <c r="I8" s="165"/>
      <c r="J8" s="146">
        <f>SUM(J5:J7)</f>
        <v>1.4000000000000001</v>
      </c>
      <c r="K8" s="431">
        <f>SUM(K5:K7)</f>
        <v>85495.633599999986</v>
      </c>
    </row>
    <row r="9" spans="2:11" ht="15" thickBot="1" x14ac:dyDescent="0.4">
      <c r="B9" s="67"/>
      <c r="C9" s="68"/>
      <c r="D9" s="61"/>
      <c r="E9" s="62"/>
      <c r="H9" s="67"/>
      <c r="I9" s="68"/>
      <c r="J9" s="61"/>
      <c r="K9" s="62"/>
    </row>
    <row r="10" spans="2:11" ht="15" thickBot="1" x14ac:dyDescent="0.4">
      <c r="B10" s="71" t="s">
        <v>8</v>
      </c>
      <c r="C10" s="72"/>
      <c r="D10" s="73">
        <v>1.5</v>
      </c>
      <c r="E10" s="74">
        <f>SUM(E5:E8)</f>
        <v>84612.333748800011</v>
      </c>
      <c r="H10" s="630" t="s">
        <v>7</v>
      </c>
      <c r="I10" s="203">
        <f>'Master Lookup'!C20</f>
        <v>0.24970000000000001</v>
      </c>
      <c r="J10" s="470"/>
      <c r="K10" s="425">
        <f>K8*I10</f>
        <v>21348.259709919996</v>
      </c>
    </row>
    <row r="11" spans="2:11" ht="15" thickBot="1" x14ac:dyDescent="0.4">
      <c r="B11" s="10"/>
      <c r="C11" s="75" t="s">
        <v>9</v>
      </c>
      <c r="D11" s="75"/>
      <c r="E11" s="76"/>
      <c r="H11" s="475" t="s">
        <v>498</v>
      </c>
      <c r="I11" s="205"/>
      <c r="J11" s="471"/>
      <c r="K11" s="476">
        <f>K8+K10</f>
        <v>106843.89330991998</v>
      </c>
    </row>
    <row r="12" spans="2:11" ht="15" thickTop="1" x14ac:dyDescent="0.35">
      <c r="B12" s="10" t="s">
        <v>23</v>
      </c>
      <c r="C12" s="77">
        <v>6198.4781475635955</v>
      </c>
      <c r="D12" s="78"/>
      <c r="E12" s="79">
        <f>C12*D10</f>
        <v>9297.7172213453923</v>
      </c>
      <c r="H12" s="10"/>
      <c r="I12" s="75" t="s">
        <v>9</v>
      </c>
      <c r="J12" s="75"/>
      <c r="K12" s="76"/>
    </row>
    <row r="13" spans="2:11" ht="15" thickBot="1" x14ac:dyDescent="0.4">
      <c r="B13" s="80" t="s">
        <v>24</v>
      </c>
      <c r="C13" s="81">
        <v>2794.2223618392604</v>
      </c>
      <c r="D13" s="82"/>
      <c r="E13" s="83">
        <f>C13*D10</f>
        <v>4191.3335427588909</v>
      </c>
      <c r="H13" s="10" t="s">
        <v>23</v>
      </c>
      <c r="I13" s="77">
        <f ca="1">'UFR FY23 Combined'!E5</f>
        <v>8516.4863039663633</v>
      </c>
      <c r="J13" s="78"/>
      <c r="K13" s="79">
        <f ca="1">I13*J8</f>
        <v>11923.08082555291</v>
      </c>
    </row>
    <row r="14" spans="2:11" ht="15.5" thickTop="1" thickBot="1" x14ac:dyDescent="0.4">
      <c r="B14" s="84" t="s">
        <v>25</v>
      </c>
      <c r="C14" s="85"/>
      <c r="D14" s="85"/>
      <c r="E14" s="141">
        <f>E13+E12+E10</f>
        <v>98101.384512904289</v>
      </c>
      <c r="H14" s="80" t="s">
        <v>24</v>
      </c>
      <c r="I14" s="81">
        <f ca="1">'UFR FY23 Combined'!AO5</f>
        <v>3410.6245791447127</v>
      </c>
      <c r="J14" s="82"/>
      <c r="K14" s="83">
        <f ca="1">I14*J8</f>
        <v>4774.8744108025985</v>
      </c>
    </row>
    <row r="15" spans="2:11" ht="15.5" thickTop="1" thickBot="1" x14ac:dyDescent="0.4">
      <c r="B15" s="87" t="s">
        <v>10</v>
      </c>
      <c r="C15" s="88">
        <v>0.12</v>
      </c>
      <c r="D15" s="89"/>
      <c r="E15" s="90">
        <f>E14*C15</f>
        <v>11772.166141548514</v>
      </c>
      <c r="H15" s="177" t="s">
        <v>499</v>
      </c>
      <c r="I15" s="472"/>
      <c r="J15" s="472"/>
      <c r="K15" s="473">
        <f ca="1">K11+K13+K14</f>
        <v>123541.84854627549</v>
      </c>
    </row>
    <row r="16" spans="2:11" ht="15" thickTop="1" x14ac:dyDescent="0.35">
      <c r="B16" s="84" t="s">
        <v>12</v>
      </c>
      <c r="C16" s="92"/>
      <c r="D16" s="92"/>
      <c r="E16" s="86">
        <f>E15+E14</f>
        <v>109873.5506544528</v>
      </c>
      <c r="H16" s="10" t="s">
        <v>10</v>
      </c>
      <c r="I16" s="429">
        <f>'Master Lookup'!C21</f>
        <v>0.12</v>
      </c>
      <c r="J16" s="75"/>
      <c r="K16" s="62">
        <f ca="1">K15*I16</f>
        <v>14825.021825553058</v>
      </c>
    </row>
    <row r="17" spans="2:11" ht="15" thickBot="1" x14ac:dyDescent="0.4">
      <c r="B17" s="10" t="s">
        <v>26</v>
      </c>
      <c r="C17" s="29">
        <v>1.8521849532574713E-2</v>
      </c>
      <c r="D17" s="75"/>
      <c r="E17" s="62">
        <f>E16*(C17+1)</f>
        <v>111908.61202728431</v>
      </c>
      <c r="H17" s="10"/>
      <c r="I17" s="429"/>
      <c r="J17" s="75"/>
      <c r="K17" s="62"/>
    </row>
    <row r="18" spans="2:11" ht="15" thickBot="1" x14ac:dyDescent="0.4">
      <c r="B18" s="94" t="s">
        <v>28</v>
      </c>
      <c r="C18" s="95"/>
      <c r="D18" s="95"/>
      <c r="E18" s="96">
        <f>E17/E3</f>
        <v>72.857169288596552</v>
      </c>
      <c r="H18" s="432" t="s">
        <v>500</v>
      </c>
      <c r="I18" s="430"/>
      <c r="J18" s="430"/>
      <c r="K18" s="421">
        <f ca="1">K16+K15</f>
        <v>138366.87037182855</v>
      </c>
    </row>
    <row r="19" spans="2:11" ht="15.5" thickTop="1" thickBot="1" x14ac:dyDescent="0.4">
      <c r="B19" s="97" t="s">
        <v>65</v>
      </c>
      <c r="C19" s="98"/>
      <c r="D19" s="99"/>
      <c r="E19" s="100">
        <f>E18*0.25</f>
        <v>18.214292322149138</v>
      </c>
      <c r="H19" s="10" t="s">
        <v>26</v>
      </c>
      <c r="I19" s="429">
        <f>'Master Lookup'!C22</f>
        <v>3.2549514448865162E-2</v>
      </c>
      <c r="J19" s="75"/>
      <c r="K19" s="62">
        <f ca="1">I19*K15</f>
        <v>4021.2271842965056</v>
      </c>
    </row>
    <row r="20" spans="2:11" ht="15" thickBot="1" x14ac:dyDescent="0.4">
      <c r="B20" s="75"/>
      <c r="C20" s="75"/>
      <c r="D20" s="101"/>
      <c r="E20" s="75"/>
      <c r="H20" s="149" t="s">
        <v>500</v>
      </c>
      <c r="I20" s="429"/>
      <c r="J20" s="75"/>
      <c r="K20" s="428">
        <f ca="1">K18+K19</f>
        <v>142388.09755612505</v>
      </c>
    </row>
    <row r="21" spans="2:11" x14ac:dyDescent="0.35">
      <c r="B21" s="75"/>
      <c r="C21" s="75"/>
      <c r="D21" s="75"/>
      <c r="E21" s="102"/>
      <c r="H21" s="94" t="s">
        <v>28</v>
      </c>
      <c r="I21" s="95"/>
      <c r="J21" s="95"/>
      <c r="K21" s="96">
        <f ca="1">K20/K3</f>
        <v>92.700584346435576</v>
      </c>
    </row>
    <row r="22" spans="2:11" ht="15" thickBot="1" x14ac:dyDescent="0.4">
      <c r="B22" s="18"/>
      <c r="C22" s="18"/>
      <c r="D22" s="103"/>
      <c r="E22" s="104"/>
      <c r="H22" s="97" t="s">
        <v>65</v>
      </c>
      <c r="I22" s="98"/>
      <c r="J22" s="99"/>
      <c r="K22" s="100">
        <f ca="1">K21*0.25</f>
        <v>23.175146086608894</v>
      </c>
    </row>
    <row r="23" spans="2:11" x14ac:dyDescent="0.35">
      <c r="H23" s="75"/>
      <c r="I23" s="75"/>
      <c r="J23" s="101"/>
      <c r="K23" s="102"/>
    </row>
    <row r="24" spans="2:11" x14ac:dyDescent="0.35">
      <c r="H24" s="75"/>
      <c r="I24" s="75"/>
      <c r="J24" s="75" t="s">
        <v>495</v>
      </c>
      <c r="K24" s="104">
        <f ca="1">(K22-E19)/E19</f>
        <v>0.27236050002487366</v>
      </c>
    </row>
  </sheetData>
  <mergeCells count="2">
    <mergeCell ref="B2:E2"/>
    <mergeCell ref="H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T50"/>
  <sheetViews>
    <sheetView zoomScaleNormal="100" workbookViewId="0">
      <selection activeCell="Q22" sqref="Q22"/>
    </sheetView>
  </sheetViews>
  <sheetFormatPr defaultColWidth="9.1796875" defaultRowHeight="12.5" x14ac:dyDescent="0.25"/>
  <cols>
    <col min="1" max="1" width="9.1796875" style="42"/>
    <col min="2" max="2" width="25" style="42" hidden="1" customWidth="1"/>
    <col min="3" max="3" width="9.453125" style="42" hidden="1" customWidth="1"/>
    <col min="4" max="4" width="9.7265625" style="42" hidden="1" customWidth="1"/>
    <col min="5" max="6" width="11.26953125" style="42" hidden="1" customWidth="1"/>
    <col min="7" max="7" width="9.1796875" style="42"/>
    <col min="8" max="8" width="29.1796875" style="42" customWidth="1"/>
    <col min="9" max="10" width="9.1796875" style="42"/>
    <col min="11" max="11" width="9.453125" style="42" bestFit="1" customWidth="1"/>
    <col min="12" max="16384" width="9.1796875" style="42"/>
  </cols>
  <sheetData>
    <row r="2" spans="1:20" ht="13.5" thickBot="1" x14ac:dyDescent="0.35">
      <c r="A2" s="50"/>
      <c r="B2" s="24" t="s">
        <v>396</v>
      </c>
      <c r="C2" s="24"/>
      <c r="D2" s="24"/>
      <c r="E2" s="142">
        <v>44927</v>
      </c>
      <c r="F2" s="50"/>
      <c r="H2" s="24" t="s">
        <v>397</v>
      </c>
      <c r="I2" s="24"/>
      <c r="J2" s="24"/>
      <c r="K2" s="142">
        <v>45658</v>
      </c>
    </row>
    <row r="3" spans="1:20" ht="13.5" thickBot="1" x14ac:dyDescent="0.35">
      <c r="A3" s="50"/>
      <c r="B3" s="909" t="s">
        <v>68</v>
      </c>
      <c r="C3" s="910"/>
      <c r="D3" s="910"/>
      <c r="E3" s="911"/>
      <c r="F3" s="44"/>
      <c r="H3" s="909" t="s">
        <v>68</v>
      </c>
      <c r="I3" s="910"/>
      <c r="J3" s="910"/>
      <c r="K3" s="911"/>
    </row>
    <row r="4" spans="1:20" ht="13" x14ac:dyDescent="0.3">
      <c r="A4" s="50"/>
      <c r="B4" s="143" t="s">
        <v>69</v>
      </c>
      <c r="C4" s="162"/>
      <c r="D4" s="49" t="s">
        <v>70</v>
      </c>
      <c r="E4" s="53">
        <v>1321</v>
      </c>
      <c r="F4" s="51"/>
      <c r="H4" s="143" t="s">
        <v>69</v>
      </c>
      <c r="I4" s="162"/>
      <c r="J4" s="49" t="s">
        <v>70</v>
      </c>
      <c r="K4" s="53">
        <f>'Master Lookup'!H12</f>
        <v>1456</v>
      </c>
    </row>
    <row r="5" spans="1:20" ht="12.75" customHeight="1" x14ac:dyDescent="0.3">
      <c r="A5" s="50"/>
      <c r="B5" s="56"/>
      <c r="C5" s="57"/>
      <c r="D5" s="57" t="s">
        <v>2</v>
      </c>
      <c r="E5" s="58" t="s">
        <v>3</v>
      </c>
      <c r="F5" s="55"/>
      <c r="H5" s="56"/>
      <c r="I5" s="57" t="s">
        <v>509</v>
      </c>
      <c r="J5" s="57" t="s">
        <v>2</v>
      </c>
      <c r="K5" s="58" t="s">
        <v>3</v>
      </c>
      <c r="O5" s="767"/>
      <c r="P5" s="767"/>
      <c r="Q5" s="767"/>
      <c r="R5" s="767"/>
      <c r="S5" s="767"/>
      <c r="T5" s="767"/>
    </row>
    <row r="6" spans="1:20" ht="12.75" customHeight="1" x14ac:dyDescent="0.3">
      <c r="A6" s="50"/>
      <c r="B6" s="149" t="s">
        <v>4</v>
      </c>
      <c r="C6" s="163"/>
      <c r="D6" s="12">
        <v>0.05</v>
      </c>
      <c r="E6" s="13">
        <v>3600.0119999999997</v>
      </c>
      <c r="F6" s="631">
        <f>E6/D6</f>
        <v>72000.239999999991</v>
      </c>
      <c r="H6" s="10" t="s">
        <v>4</v>
      </c>
      <c r="I6" s="163">
        <f>'Master Lookup'!C4</f>
        <v>80829.631999999998</v>
      </c>
      <c r="J6" s="12">
        <v>0.05</v>
      </c>
      <c r="K6" s="13">
        <f>I6*J6</f>
        <v>4041.4816000000001</v>
      </c>
      <c r="O6" s="767"/>
      <c r="P6" s="767"/>
      <c r="Q6" s="767"/>
      <c r="R6" s="767"/>
      <c r="S6" s="767"/>
      <c r="T6" s="767"/>
    </row>
    <row r="7" spans="1:20" ht="12.75" customHeight="1" x14ac:dyDescent="0.3">
      <c r="A7" s="50"/>
      <c r="B7" s="149" t="s">
        <v>17</v>
      </c>
      <c r="C7" s="163"/>
      <c r="D7" s="12">
        <f>1+0.1</f>
        <v>1.1000000000000001</v>
      </c>
      <c r="E7" s="13">
        <v>66288.039999999994</v>
      </c>
      <c r="F7" s="631">
        <f t="shared" ref="F7:F8" si="0">E7/D7</f>
        <v>60261.854545454538</v>
      </c>
      <c r="H7" s="479" t="s">
        <v>403</v>
      </c>
      <c r="I7" s="163">
        <f>'Master Lookup'!C8</f>
        <v>83639.712</v>
      </c>
      <c r="J7" s="856">
        <v>0.1</v>
      </c>
      <c r="K7" s="857">
        <f>I7*J7</f>
        <v>8363.9712</v>
      </c>
      <c r="O7" s="767"/>
      <c r="P7" s="767"/>
      <c r="Q7" s="767"/>
      <c r="R7" s="767"/>
      <c r="S7" s="767"/>
      <c r="T7" s="767"/>
    </row>
    <row r="8" spans="1:20" ht="12.75" customHeight="1" x14ac:dyDescent="0.3">
      <c r="A8" s="50"/>
      <c r="B8" s="149" t="s">
        <v>19</v>
      </c>
      <c r="C8" s="163"/>
      <c r="D8" s="164">
        <v>0.15</v>
      </c>
      <c r="E8" s="13">
        <v>5840.6399999999994</v>
      </c>
      <c r="F8" s="631">
        <f t="shared" si="0"/>
        <v>38937.599999999999</v>
      </c>
      <c r="H8" s="479" t="s">
        <v>404</v>
      </c>
      <c r="I8" s="163">
        <f>'Master Lookup'!C9</f>
        <v>70211.44</v>
      </c>
      <c r="J8" s="856">
        <v>1</v>
      </c>
      <c r="K8" s="857">
        <f>I8*J8</f>
        <v>70211.44</v>
      </c>
      <c r="O8" s="767"/>
      <c r="P8" s="767"/>
      <c r="Q8" s="767"/>
      <c r="R8" s="767"/>
      <c r="S8" s="767"/>
      <c r="T8" s="767"/>
    </row>
    <row r="9" spans="1:20" ht="12.75" customHeight="1" x14ac:dyDescent="0.3">
      <c r="A9" s="50"/>
      <c r="B9" s="145" t="s">
        <v>20</v>
      </c>
      <c r="C9" s="165"/>
      <c r="D9" s="21">
        <f>SUM(D6:D8)</f>
        <v>1.3</v>
      </c>
      <c r="E9" s="22">
        <f>SUM(E6:E8)</f>
        <v>75728.691999999995</v>
      </c>
      <c r="F9" s="64"/>
      <c r="H9" s="10" t="s">
        <v>249</v>
      </c>
      <c r="I9" s="163">
        <f>'Master Lookup'!C14</f>
        <v>43247.567999999999</v>
      </c>
      <c r="J9" s="164">
        <v>0.15</v>
      </c>
      <c r="K9" s="13">
        <f>I9*J9</f>
        <v>6487.1351999999997</v>
      </c>
      <c r="O9" s="767"/>
      <c r="P9" s="767"/>
      <c r="Q9" s="767"/>
      <c r="R9" s="767"/>
      <c r="S9" s="767"/>
      <c r="T9" s="767"/>
    </row>
    <row r="10" spans="1:20" ht="12.75" customHeight="1" x14ac:dyDescent="0.3">
      <c r="A10" s="50"/>
      <c r="B10" s="10"/>
      <c r="C10" s="75"/>
      <c r="D10" s="18"/>
      <c r="E10" s="166"/>
      <c r="F10" s="64"/>
      <c r="H10" s="145" t="s">
        <v>8</v>
      </c>
      <c r="I10" s="165"/>
      <c r="J10" s="21">
        <f>SUM(J6:J9)</f>
        <v>1.2999999999999998</v>
      </c>
      <c r="K10" s="22">
        <f>SUM(K6:K9)</f>
        <v>89104.028000000006</v>
      </c>
      <c r="O10" s="767"/>
      <c r="P10" s="767"/>
      <c r="Q10" s="767"/>
      <c r="R10" s="767"/>
      <c r="S10" s="767"/>
      <c r="T10" s="767"/>
    </row>
    <row r="11" spans="1:20" ht="13" x14ac:dyDescent="0.3">
      <c r="A11" s="50"/>
      <c r="B11" s="149" t="s">
        <v>21</v>
      </c>
      <c r="C11" s="75"/>
      <c r="D11" s="167" t="s">
        <v>22</v>
      </c>
      <c r="E11" s="166"/>
      <c r="F11" s="50"/>
      <c r="H11" s="10"/>
      <c r="I11" s="75"/>
      <c r="J11" s="18"/>
      <c r="K11" s="166"/>
    </row>
    <row r="12" spans="1:20" ht="13" x14ac:dyDescent="0.3">
      <c r="A12" s="50"/>
      <c r="B12" s="10" t="s">
        <v>7</v>
      </c>
      <c r="C12" s="151">
        <v>0.2422</v>
      </c>
      <c r="D12" s="18"/>
      <c r="E12" s="13">
        <f>E9*C12</f>
        <v>18341.4892024</v>
      </c>
      <c r="F12" s="50"/>
      <c r="H12" s="10" t="s">
        <v>7</v>
      </c>
      <c r="I12" s="151">
        <f>'Master Lookup'!C20</f>
        <v>0.24970000000000001</v>
      </c>
      <c r="J12" s="18"/>
      <c r="K12" s="13">
        <f>K10*I12</f>
        <v>22249.275791600001</v>
      </c>
      <c r="M12" s="854"/>
    </row>
    <row r="13" spans="1:20" ht="13" x14ac:dyDescent="0.3">
      <c r="A13" s="50"/>
      <c r="B13" s="145" t="s">
        <v>8</v>
      </c>
      <c r="C13" s="165"/>
      <c r="D13" s="168"/>
      <c r="E13" s="22">
        <f>E12+E9</f>
        <v>94070.181202399996</v>
      </c>
      <c r="F13" s="64"/>
      <c r="H13" s="10"/>
      <c r="I13" s="151"/>
      <c r="J13" s="18"/>
      <c r="K13" s="13"/>
      <c r="M13" s="854"/>
    </row>
    <row r="14" spans="1:20" ht="13" x14ac:dyDescent="0.3">
      <c r="A14" s="50"/>
      <c r="B14" s="10"/>
      <c r="C14" s="75"/>
      <c r="D14" s="25" t="s">
        <v>9</v>
      </c>
      <c r="E14" s="13"/>
      <c r="F14" s="64"/>
      <c r="H14" s="145" t="s">
        <v>498</v>
      </c>
      <c r="I14" s="165"/>
      <c r="J14" s="168"/>
      <c r="K14" s="22">
        <f>K10+K12</f>
        <v>111353.3037916</v>
      </c>
    </row>
    <row r="15" spans="1:20" ht="13" x14ac:dyDescent="0.3">
      <c r="A15" s="50"/>
      <c r="B15" s="10" t="s">
        <v>71</v>
      </c>
      <c r="C15" s="75"/>
      <c r="D15" s="15">
        <v>5643.6295682599966</v>
      </c>
      <c r="E15" s="13">
        <f>D15</f>
        <v>5643.6295682599966</v>
      </c>
      <c r="F15" s="64"/>
      <c r="H15" s="10"/>
      <c r="I15" s="486"/>
      <c r="J15" s="25" t="s">
        <v>9</v>
      </c>
      <c r="K15" s="13"/>
      <c r="M15" s="854"/>
    </row>
    <row r="16" spans="1:20" ht="13" x14ac:dyDescent="0.3">
      <c r="A16" s="50"/>
      <c r="B16" s="10" t="s">
        <v>23</v>
      </c>
      <c r="C16" s="75"/>
      <c r="D16" s="15">
        <v>6198.4781475635955</v>
      </c>
      <c r="E16" s="13">
        <f>D16*D9</f>
        <v>8058.0215918326749</v>
      </c>
      <c r="F16" s="64"/>
      <c r="H16" s="10" t="s">
        <v>71</v>
      </c>
      <c r="I16" s="77">
        <f ca="1">'Master Lookup'!C18</f>
        <v>17228.263463673018</v>
      </c>
      <c r="J16" s="15"/>
      <c r="K16" s="13">
        <f ca="1">J10*I16</f>
        <v>22396.74250277492</v>
      </c>
    </row>
    <row r="17" spans="1:18" ht="13" x14ac:dyDescent="0.3">
      <c r="A17" s="50"/>
      <c r="B17" s="10" t="s">
        <v>72</v>
      </c>
      <c r="C17" s="75"/>
      <c r="D17" s="169">
        <v>2794.2223618392604</v>
      </c>
      <c r="E17" s="13">
        <f>D17*D9</f>
        <v>3632.4890703910387</v>
      </c>
      <c r="F17" s="170"/>
      <c r="H17" s="10" t="s">
        <v>23</v>
      </c>
      <c r="I17" s="77">
        <f ca="1">'Master Lookup'!C16</f>
        <v>8516.4863039663633</v>
      </c>
      <c r="J17" s="15"/>
      <c r="K17" s="13">
        <f ca="1">J10*I17</f>
        <v>11071.432195156271</v>
      </c>
      <c r="M17" s="854"/>
    </row>
    <row r="18" spans="1:18" ht="13" x14ac:dyDescent="0.3">
      <c r="A18" s="50"/>
      <c r="B18" s="145" t="s">
        <v>27</v>
      </c>
      <c r="C18" s="165"/>
      <c r="D18" s="20"/>
      <c r="E18" s="22">
        <f>SUM(E13:E17)</f>
        <v>111404.32143288371</v>
      </c>
      <c r="F18" s="170"/>
      <c r="H18" s="10" t="s">
        <v>72</v>
      </c>
      <c r="I18" s="77">
        <f ca="1">'Master Lookup'!C17</f>
        <v>3410.6245791447127</v>
      </c>
      <c r="J18" s="487"/>
      <c r="K18" s="13">
        <f ca="1">J10*I18</f>
        <v>4433.8119528881261</v>
      </c>
    </row>
    <row r="19" spans="1:18" ht="13" x14ac:dyDescent="0.3">
      <c r="A19" s="50"/>
      <c r="B19" s="171" t="s">
        <v>10</v>
      </c>
      <c r="C19" s="29"/>
      <c r="D19" s="172">
        <v>0.12</v>
      </c>
      <c r="E19" s="31">
        <f>E18*D19</f>
        <v>13368.518571946044</v>
      </c>
      <c r="F19" s="170"/>
      <c r="H19" s="145" t="s">
        <v>27</v>
      </c>
      <c r="I19" s="165"/>
      <c r="J19" s="20"/>
      <c r="K19" s="22">
        <f ca="1">SUM(K14:K18)</f>
        <v>149255.2904424193</v>
      </c>
    </row>
    <row r="20" spans="1:18" ht="13.5" thickBot="1" x14ac:dyDescent="0.35">
      <c r="A20" s="50"/>
      <c r="B20" s="173" t="s">
        <v>12</v>
      </c>
      <c r="C20" s="89"/>
      <c r="D20" s="33"/>
      <c r="E20" s="34">
        <f>E18+E19</f>
        <v>124772.84000482975</v>
      </c>
      <c r="F20" s="170"/>
      <c r="H20" s="171" t="s">
        <v>10</v>
      </c>
      <c r="I20" s="29">
        <f>'Master Lookup'!C21</f>
        <v>0.12</v>
      </c>
      <c r="J20" s="172"/>
      <c r="K20" s="31">
        <f ca="1">K19*I20</f>
        <v>17910.634853090316</v>
      </c>
    </row>
    <row r="21" spans="1:18" ht="16.5" customHeight="1" thickTop="1" thickBot="1" x14ac:dyDescent="0.35">
      <c r="A21" s="50"/>
      <c r="B21" s="174" t="s">
        <v>73</v>
      </c>
      <c r="C21" s="175"/>
      <c r="D21" s="176">
        <v>1.8521849532574713E-2</v>
      </c>
      <c r="E21" s="34">
        <f>(D21+1)*E20</f>
        <v>127083.86377315123</v>
      </c>
      <c r="F21" s="64"/>
      <c r="H21" s="10"/>
      <c r="I21" s="429"/>
      <c r="J21" s="480"/>
      <c r="K21" s="13"/>
      <c r="M21" s="855"/>
      <c r="N21" s="855"/>
      <c r="O21" s="855"/>
      <c r="P21" s="855"/>
      <c r="Q21" s="855"/>
      <c r="R21" s="855"/>
    </row>
    <row r="22" spans="1:18" ht="13.5" thickTop="1" x14ac:dyDescent="0.3">
      <c r="A22" s="50"/>
      <c r="B22" s="177" t="s">
        <v>67</v>
      </c>
      <c r="C22" s="178"/>
      <c r="D22" s="178"/>
      <c r="E22" s="179">
        <f>E21/E4</f>
        <v>96.202773484595937</v>
      </c>
      <c r="F22" s="93"/>
      <c r="H22" s="202" t="s">
        <v>500</v>
      </c>
      <c r="I22" s="92"/>
      <c r="J22" s="455"/>
      <c r="K22" s="488">
        <f ca="1">K19+K20</f>
        <v>167165.9252955096</v>
      </c>
      <c r="M22" s="855"/>
      <c r="N22" s="855"/>
      <c r="O22" s="855"/>
      <c r="P22" s="855"/>
      <c r="Q22" s="855"/>
      <c r="R22" s="855"/>
    </row>
    <row r="23" spans="1:18" ht="13.5" thickBot="1" x14ac:dyDescent="0.35">
      <c r="A23" s="50"/>
      <c r="B23" s="180" t="s">
        <v>74</v>
      </c>
      <c r="C23" s="181"/>
      <c r="D23" s="182"/>
      <c r="E23" s="183">
        <f>E22*0.25</f>
        <v>24.050693371148984</v>
      </c>
      <c r="F23" s="93"/>
      <c r="H23" s="10" t="s">
        <v>26</v>
      </c>
      <c r="I23" s="481">
        <f>'Master Lookup'!C22</f>
        <v>3.2549514448865162E-2</v>
      </c>
      <c r="J23" s="482"/>
      <c r="K23" s="490">
        <f ca="1">I23*K19</f>
        <v>4858.1872328250929</v>
      </c>
      <c r="M23" s="855"/>
      <c r="N23" s="855"/>
      <c r="O23" s="855"/>
      <c r="P23" s="855"/>
      <c r="Q23" s="855"/>
      <c r="R23" s="855"/>
    </row>
    <row r="24" spans="1:18" ht="13.5" thickBot="1" x14ac:dyDescent="0.35">
      <c r="A24" s="50"/>
      <c r="B24" s="18"/>
      <c r="C24" s="184"/>
      <c r="D24" s="25"/>
      <c r="E24" s="185"/>
      <c r="F24" s="186"/>
      <c r="G24" s="187"/>
      <c r="H24" s="149" t="s">
        <v>500</v>
      </c>
      <c r="I24" s="481"/>
      <c r="J24" s="482"/>
      <c r="K24" s="489">
        <f ca="1">K22+K23</f>
        <v>172024.11252833469</v>
      </c>
    </row>
    <row r="25" spans="1:18" ht="13" x14ac:dyDescent="0.3">
      <c r="A25" s="50"/>
      <c r="B25" s="55"/>
      <c r="C25" s="105"/>
      <c r="D25" s="18"/>
      <c r="E25" s="188"/>
      <c r="F25" s="109"/>
      <c r="H25" s="483" t="s">
        <v>67</v>
      </c>
      <c r="I25" s="484"/>
      <c r="J25" s="484"/>
      <c r="K25" s="485">
        <f ca="1">K24/K4</f>
        <v>118.14842893429581</v>
      </c>
    </row>
    <row r="26" spans="1:18" ht="13.5" thickBot="1" x14ac:dyDescent="0.35">
      <c r="A26" s="50"/>
      <c r="B26" s="55"/>
      <c r="C26" s="105"/>
      <c r="D26" s="18"/>
      <c r="E26" s="189"/>
      <c r="F26" s="109"/>
      <c r="H26" s="180" t="s">
        <v>74</v>
      </c>
      <c r="I26" s="181"/>
      <c r="J26" s="182"/>
      <c r="K26" s="183">
        <f ca="1">K25*0.25</f>
        <v>29.537107233573952</v>
      </c>
    </row>
    <row r="27" spans="1:18" ht="13" x14ac:dyDescent="0.3">
      <c r="A27" s="50"/>
      <c r="B27" s="55"/>
      <c r="C27" s="105"/>
      <c r="D27" s="55"/>
      <c r="E27" s="190"/>
      <c r="F27" s="109"/>
      <c r="H27" s="18"/>
      <c r="I27" s="184"/>
      <c r="J27" s="25"/>
      <c r="K27" s="185"/>
    </row>
    <row r="28" spans="1:18" ht="13" x14ac:dyDescent="0.3">
      <c r="A28" s="50"/>
      <c r="B28" s="55"/>
      <c r="C28" s="105"/>
      <c r="D28" s="55"/>
      <c r="E28" s="190"/>
      <c r="F28" s="109"/>
      <c r="H28" s="55"/>
      <c r="I28" s="105"/>
      <c r="J28" s="18" t="s">
        <v>495</v>
      </c>
      <c r="K28" s="189">
        <f ca="1">(K26-E23)/E23</f>
        <v>0.22811873977015668</v>
      </c>
    </row>
    <row r="29" spans="1:18" ht="13" x14ac:dyDescent="0.3">
      <c r="A29" s="50"/>
      <c r="B29" s="191"/>
      <c r="C29" s="192"/>
      <c r="D29" s="50"/>
      <c r="E29" s="193"/>
      <c r="F29" s="109"/>
      <c r="H29" s="55"/>
      <c r="I29" s="105"/>
      <c r="J29" s="18"/>
      <c r="K29" s="189"/>
    </row>
    <row r="30" spans="1:18" ht="13" x14ac:dyDescent="0.3">
      <c r="A30" s="50"/>
      <c r="D30" s="194"/>
      <c r="E30" s="195"/>
      <c r="F30" s="109"/>
      <c r="H30" s="55"/>
      <c r="I30" s="105"/>
      <c r="J30" s="55"/>
      <c r="K30" s="190"/>
    </row>
    <row r="31" spans="1:18" ht="13" x14ac:dyDescent="0.3">
      <c r="A31" s="50"/>
      <c r="D31" s="157"/>
      <c r="E31" s="196"/>
      <c r="F31" s="109"/>
      <c r="H31" s="55"/>
      <c r="I31" s="105"/>
      <c r="J31" s="55"/>
      <c r="K31" s="190"/>
    </row>
    <row r="32" spans="1:18" ht="13" x14ac:dyDescent="0.3">
      <c r="A32" s="50"/>
      <c r="B32" s="50"/>
      <c r="C32" s="50"/>
      <c r="D32" s="50"/>
      <c r="E32" s="50"/>
      <c r="F32" s="109"/>
      <c r="H32" s="191"/>
      <c r="I32" s="192"/>
      <c r="J32" s="50"/>
      <c r="K32" s="193"/>
    </row>
    <row r="33" spans="1:11" ht="13" x14ac:dyDescent="0.3">
      <c r="B33" s="50"/>
      <c r="C33" s="50"/>
      <c r="D33" s="50"/>
      <c r="E33" s="50"/>
      <c r="J33" s="194"/>
      <c r="K33" s="195"/>
    </row>
    <row r="34" spans="1:11" ht="13" x14ac:dyDescent="0.3">
      <c r="A34" s="50"/>
      <c r="B34" s="50"/>
      <c r="C34" s="50"/>
      <c r="D34" s="50"/>
      <c r="E34" s="50"/>
      <c r="F34" s="109"/>
      <c r="G34" s="50"/>
      <c r="J34" s="157"/>
      <c r="K34" s="196"/>
    </row>
    <row r="35" spans="1:11" x14ac:dyDescent="0.25">
      <c r="A35" s="50"/>
      <c r="B35" s="50"/>
      <c r="C35" s="50"/>
      <c r="D35" s="50"/>
      <c r="E35" s="50"/>
      <c r="F35" s="109"/>
      <c r="G35" s="50"/>
      <c r="H35" s="50"/>
      <c r="I35" s="50"/>
      <c r="J35" s="50"/>
      <c r="K35" s="50"/>
    </row>
    <row r="36" spans="1:11" x14ac:dyDescent="0.25">
      <c r="A36" s="50"/>
      <c r="B36" s="50"/>
      <c r="C36" s="50"/>
      <c r="D36" s="50"/>
      <c r="E36" s="50"/>
      <c r="F36" s="109"/>
      <c r="G36" s="50"/>
      <c r="H36" s="50"/>
      <c r="I36" s="50"/>
      <c r="J36" s="50"/>
      <c r="K36" s="50"/>
    </row>
    <row r="37" spans="1:11" x14ac:dyDescent="0.25">
      <c r="A37" s="50"/>
      <c r="B37" s="50"/>
      <c r="C37" s="50"/>
      <c r="D37" s="50"/>
      <c r="E37" s="50"/>
      <c r="F37" s="121"/>
      <c r="G37" s="50"/>
      <c r="H37" s="50"/>
      <c r="I37" s="50"/>
      <c r="J37" s="50"/>
      <c r="K37" s="50"/>
    </row>
    <row r="38" spans="1:11" x14ac:dyDescent="0.25">
      <c r="A38" s="50"/>
      <c r="B38" s="50"/>
      <c r="C38" s="50"/>
      <c r="D38" s="50"/>
      <c r="E38" s="50"/>
      <c r="F38" s="55"/>
      <c r="G38" s="50"/>
      <c r="H38" s="50"/>
      <c r="I38" s="50"/>
      <c r="J38" s="50"/>
      <c r="K38" s="50"/>
    </row>
    <row r="39" spans="1:11" ht="13" x14ac:dyDescent="0.3">
      <c r="A39" s="50"/>
      <c r="B39" s="50"/>
      <c r="C39" s="50"/>
      <c r="D39" s="50"/>
      <c r="E39" s="50"/>
      <c r="F39" s="93"/>
      <c r="G39" s="50"/>
      <c r="H39" s="50"/>
      <c r="I39" s="50"/>
      <c r="J39" s="50"/>
      <c r="K39" s="50"/>
    </row>
    <row r="40" spans="1:11" x14ac:dyDescent="0.25">
      <c r="A40" s="50"/>
      <c r="B40" s="50"/>
      <c r="C40" s="50"/>
      <c r="D40" s="50"/>
      <c r="E40" s="50"/>
      <c r="F40" s="55"/>
      <c r="G40" s="50"/>
      <c r="H40" s="50"/>
      <c r="I40" s="50"/>
      <c r="J40" s="50"/>
      <c r="K40" s="50"/>
    </row>
    <row r="41" spans="1:11" ht="13" x14ac:dyDescent="0.3">
      <c r="A41" s="159"/>
      <c r="B41" s="50"/>
      <c r="C41" s="50"/>
      <c r="D41" s="50"/>
      <c r="E41" s="50"/>
      <c r="F41" s="64"/>
      <c r="G41" s="50"/>
      <c r="H41" s="50"/>
      <c r="I41" s="50"/>
      <c r="J41" s="50"/>
      <c r="K41" s="50"/>
    </row>
    <row r="42" spans="1:11" ht="13" x14ac:dyDescent="0.3">
      <c r="A42" s="159"/>
      <c r="B42" s="50"/>
      <c r="C42" s="50"/>
      <c r="D42" s="50"/>
      <c r="E42" s="50"/>
      <c r="F42" s="64"/>
      <c r="G42" s="50"/>
      <c r="H42" s="50"/>
      <c r="I42" s="50"/>
      <c r="J42" s="50"/>
      <c r="K42" s="50"/>
    </row>
    <row r="43" spans="1:11" ht="13" x14ac:dyDescent="0.3">
      <c r="A43" s="159"/>
      <c r="B43" s="50"/>
      <c r="C43" s="50"/>
      <c r="D43" s="50"/>
      <c r="E43" s="50"/>
      <c r="F43" s="55"/>
      <c r="G43" s="50"/>
    </row>
    <row r="44" spans="1:11" ht="13" x14ac:dyDescent="0.3">
      <c r="A44" s="159"/>
      <c r="B44" s="50"/>
      <c r="C44" s="50"/>
      <c r="D44" s="50"/>
      <c r="E44" s="50"/>
      <c r="F44" s="93"/>
      <c r="G44" s="50"/>
    </row>
    <row r="45" spans="1:11" ht="13" x14ac:dyDescent="0.3">
      <c r="A45" s="159"/>
      <c r="B45" s="50"/>
      <c r="C45" s="50"/>
      <c r="D45" s="50"/>
      <c r="E45" s="50"/>
      <c r="F45" s="55"/>
      <c r="G45" s="50"/>
    </row>
    <row r="46" spans="1:11" ht="13" x14ac:dyDescent="0.3">
      <c r="A46" s="159"/>
      <c r="B46" s="50"/>
      <c r="C46" s="50"/>
      <c r="D46" s="50"/>
      <c r="E46" s="50"/>
      <c r="F46" s="50"/>
      <c r="G46" s="50"/>
    </row>
    <row r="47" spans="1:11" x14ac:dyDescent="0.25">
      <c r="A47" s="50"/>
      <c r="B47" s="50"/>
      <c r="C47" s="50"/>
      <c r="D47" s="50"/>
      <c r="E47" s="50"/>
      <c r="F47" s="50"/>
      <c r="G47" s="50"/>
    </row>
    <row r="48" spans="1:11" x14ac:dyDescent="0.25">
      <c r="A48" s="50"/>
      <c r="F48" s="50"/>
      <c r="G48" s="50"/>
    </row>
    <row r="49" spans="1:7" x14ac:dyDescent="0.25">
      <c r="A49" s="50"/>
      <c r="F49" s="50"/>
      <c r="G49" s="50"/>
    </row>
    <row r="50" spans="1:7" x14ac:dyDescent="0.25">
      <c r="A50" s="50"/>
      <c r="F50" s="50"/>
      <c r="G50" s="50"/>
    </row>
  </sheetData>
  <mergeCells count="2">
    <mergeCell ref="B3:E3"/>
    <mergeCell ref="H3:K3"/>
  </mergeCells>
  <pageMargins left="0.25" right="0.25" top="0.75" bottom="0.75" header="0.3" footer="0.3"/>
  <pageSetup scale="88" fitToHeight="0" orientation="landscape" cellComments="asDisplayed"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3"/>
  <sheetViews>
    <sheetView zoomScale="115" zoomScaleNormal="115" workbookViewId="0">
      <selection activeCell="P13" sqref="P13"/>
    </sheetView>
  </sheetViews>
  <sheetFormatPr defaultColWidth="9.1796875" defaultRowHeight="12.5" x14ac:dyDescent="0.25"/>
  <cols>
    <col min="1" max="1" width="9.1796875" style="42"/>
    <col min="2" max="2" width="25.1796875" style="42" hidden="1" customWidth="1"/>
    <col min="3" max="3" width="10" style="42" hidden="1" customWidth="1"/>
    <col min="4" max="4" width="8" style="42" hidden="1" customWidth="1"/>
    <col min="5" max="5" width="12.1796875" style="42" hidden="1" customWidth="1"/>
    <col min="6" max="6" width="7.7265625" style="42" hidden="1" customWidth="1"/>
    <col min="7" max="7" width="6.7265625" style="42" customWidth="1"/>
    <col min="8" max="8" width="9.1796875" style="42"/>
    <col min="9" max="9" width="30.7265625" style="42" bestFit="1" customWidth="1"/>
    <col min="10" max="11" width="9.1796875" style="42"/>
    <col min="12" max="12" width="9.453125" style="42" bestFit="1" customWidth="1"/>
    <col min="13" max="16384" width="9.1796875" style="42"/>
  </cols>
  <sheetData>
    <row r="1" spans="1:12" ht="24.75" customHeight="1" x14ac:dyDescent="0.3">
      <c r="A1" s="50"/>
      <c r="F1" s="24"/>
      <c r="G1" s="24"/>
    </row>
    <row r="2" spans="1:12" ht="13.5" thickBot="1" x14ac:dyDescent="0.35">
      <c r="A2" s="50"/>
      <c r="B2" s="24" t="s">
        <v>396</v>
      </c>
      <c r="C2" s="24"/>
      <c r="D2" s="24"/>
      <c r="E2" s="142">
        <v>44927</v>
      </c>
      <c r="F2" s="43"/>
      <c r="G2" s="43"/>
      <c r="I2" s="24" t="s">
        <v>397</v>
      </c>
      <c r="J2" s="24"/>
      <c r="K2" s="24"/>
      <c r="L2" s="142">
        <v>45658</v>
      </c>
    </row>
    <row r="3" spans="1:12" ht="13.5" thickBot="1" x14ac:dyDescent="0.35">
      <c r="A3" s="50"/>
      <c r="B3" s="912" t="s">
        <v>75</v>
      </c>
      <c r="C3" s="913"/>
      <c r="D3" s="913"/>
      <c r="E3" s="914"/>
      <c r="F3" s="54"/>
      <c r="G3" s="54"/>
      <c r="I3" s="912" t="s">
        <v>75</v>
      </c>
      <c r="J3" s="913"/>
      <c r="K3" s="913"/>
      <c r="L3" s="914"/>
    </row>
    <row r="4" spans="1:12" ht="15.75" customHeight="1" x14ac:dyDescent="0.3">
      <c r="A4" s="50"/>
      <c r="B4" s="197" t="s">
        <v>76</v>
      </c>
      <c r="C4" s="49" t="s">
        <v>16</v>
      </c>
      <c r="D4" s="24"/>
      <c r="E4" s="53">
        <v>1536</v>
      </c>
      <c r="F4" s="18"/>
      <c r="G4" s="18"/>
      <c r="I4" s="197" t="s">
        <v>76</v>
      </c>
      <c r="J4" s="505" t="s">
        <v>16</v>
      </c>
      <c r="K4" s="506"/>
      <c r="L4" s="507">
        <v>1536</v>
      </c>
    </row>
    <row r="5" spans="1:12" ht="15" customHeight="1" x14ac:dyDescent="0.3">
      <c r="A5" s="50"/>
      <c r="B5" s="56"/>
      <c r="C5" s="57"/>
      <c r="D5" s="57" t="s">
        <v>2</v>
      </c>
      <c r="E5" s="58" t="s">
        <v>3</v>
      </c>
      <c r="F5" s="198"/>
      <c r="G5" s="198"/>
      <c r="I5" s="56"/>
      <c r="J5" s="57" t="s">
        <v>509</v>
      </c>
      <c r="K5" s="57" t="s">
        <v>2</v>
      </c>
      <c r="L5" s="58" t="s">
        <v>3</v>
      </c>
    </row>
    <row r="6" spans="1:12" ht="15" customHeight="1" x14ac:dyDescent="0.3">
      <c r="A6" s="50"/>
      <c r="B6" s="10" t="s">
        <v>4</v>
      </c>
      <c r="C6" s="60"/>
      <c r="D6" s="61">
        <v>0.05</v>
      </c>
      <c r="E6" s="144">
        <v>3600.0119999999997</v>
      </c>
      <c r="F6" s="198">
        <f>E6/D6</f>
        <v>72000.239999999991</v>
      </c>
      <c r="G6" s="198"/>
      <c r="I6" s="10" t="s">
        <v>4</v>
      </c>
      <c r="J6" s="60">
        <f>'Master Lookup'!C4</f>
        <v>80829.631999999998</v>
      </c>
      <c r="K6" s="61">
        <v>0.05</v>
      </c>
      <c r="L6" s="144">
        <f>J6*K6</f>
        <v>4041.4816000000001</v>
      </c>
    </row>
    <row r="7" spans="1:12" ht="15" customHeight="1" x14ac:dyDescent="0.3">
      <c r="A7" s="50"/>
      <c r="B7" s="10" t="s">
        <v>17</v>
      </c>
      <c r="C7" s="65"/>
      <c r="D7" s="66">
        <v>0.1</v>
      </c>
      <c r="E7" s="144">
        <v>5916.56</v>
      </c>
      <c r="F7" s="198">
        <f t="shared" ref="F7:F8" si="0">E7/D7</f>
        <v>59165.599999999999</v>
      </c>
      <c r="G7" s="198"/>
      <c r="I7" s="479" t="s">
        <v>404</v>
      </c>
      <c r="J7" s="65">
        <f>'Master Lookup'!C9</f>
        <v>70211.44</v>
      </c>
      <c r="K7" s="66">
        <v>0.1</v>
      </c>
      <c r="L7" s="144">
        <f>J7*K7</f>
        <v>7021.1440000000002</v>
      </c>
    </row>
    <row r="8" spans="1:12" ht="15" customHeight="1" x14ac:dyDescent="0.3">
      <c r="A8" s="50"/>
      <c r="B8" s="10" t="s">
        <v>6</v>
      </c>
      <c r="C8" s="65"/>
      <c r="D8" s="66">
        <f>1+0.3</f>
        <v>1.3</v>
      </c>
      <c r="E8" s="144">
        <v>60386.144</v>
      </c>
      <c r="F8" s="198">
        <f t="shared" si="0"/>
        <v>46450.879999999997</v>
      </c>
      <c r="G8" s="198"/>
      <c r="I8" s="479" t="s">
        <v>250</v>
      </c>
      <c r="J8" s="65">
        <f>'Master Lookup'!C13</f>
        <v>56217.241600000001</v>
      </c>
      <c r="K8" s="66">
        <v>1</v>
      </c>
      <c r="L8" s="144">
        <f>J8*K8</f>
        <v>56217.241600000001</v>
      </c>
    </row>
    <row r="9" spans="1:12" ht="12.75" customHeight="1" x14ac:dyDescent="0.3">
      <c r="A9" s="50"/>
      <c r="B9" s="16" t="s">
        <v>77</v>
      </c>
      <c r="C9" s="68">
        <v>0.2422</v>
      </c>
      <c r="D9" s="66"/>
      <c r="E9" s="144">
        <f>SUM(E6:E8)*C9</f>
        <v>16930.437815199999</v>
      </c>
      <c r="F9" s="198"/>
      <c r="G9" s="198"/>
      <c r="I9" s="10" t="s">
        <v>510</v>
      </c>
      <c r="J9" s="65">
        <f>'Master Lookup'!C14</f>
        <v>43247.567999999999</v>
      </c>
      <c r="K9" s="66">
        <v>0.3</v>
      </c>
      <c r="L9" s="62">
        <f>J9*K9</f>
        <v>12974.270399999999</v>
      </c>
    </row>
    <row r="10" spans="1:12" ht="12.75" customHeight="1" x14ac:dyDescent="0.3">
      <c r="A10" s="50"/>
      <c r="B10" s="199"/>
      <c r="C10" s="68"/>
      <c r="D10" s="61"/>
      <c r="E10" s="144"/>
      <c r="F10" s="198"/>
      <c r="G10" s="198"/>
      <c r="I10" s="145" t="s">
        <v>8</v>
      </c>
      <c r="J10" s="165"/>
      <c r="K10" s="146">
        <f>SUM(K6:K9)</f>
        <v>1.45</v>
      </c>
      <c r="L10" s="147">
        <f>SUM(L6:L9)</f>
        <v>80254.137600000002</v>
      </c>
    </row>
    <row r="11" spans="1:12" ht="12.75" customHeight="1" x14ac:dyDescent="0.3">
      <c r="A11" s="50"/>
      <c r="B11" s="145" t="s">
        <v>8</v>
      </c>
      <c r="C11" s="165"/>
      <c r="D11" s="146">
        <f>SUM(D6:D10)</f>
        <v>1.4500000000000002</v>
      </c>
      <c r="E11" s="147">
        <f>SUM(E6:E10)</f>
        <v>86833.153815199999</v>
      </c>
      <c r="F11" s="198"/>
      <c r="G11" s="198"/>
      <c r="I11" s="10"/>
      <c r="J11" s="75"/>
      <c r="K11" s="18"/>
      <c r="L11" s="166"/>
    </row>
    <row r="12" spans="1:12" ht="13" x14ac:dyDescent="0.3">
      <c r="A12" s="50"/>
      <c r="B12" s="10"/>
      <c r="C12" s="75" t="s">
        <v>9</v>
      </c>
      <c r="D12" s="75"/>
      <c r="E12" s="148"/>
      <c r="F12" s="198"/>
      <c r="G12" s="198"/>
      <c r="I12" s="10" t="s">
        <v>7</v>
      </c>
      <c r="J12" s="151">
        <v>0.24970000000000001</v>
      </c>
      <c r="K12" s="18"/>
      <c r="L12" s="13">
        <f>L10*J12</f>
        <v>20039.458158720001</v>
      </c>
    </row>
    <row r="13" spans="1:12" ht="13" x14ac:dyDescent="0.3">
      <c r="A13" s="50"/>
      <c r="B13" s="10" t="s">
        <v>23</v>
      </c>
      <c r="C13" s="77">
        <v>6198.4781475635955</v>
      </c>
      <c r="D13" s="78"/>
      <c r="E13" s="200">
        <f>C13*D11</f>
        <v>8987.793313967215</v>
      </c>
      <c r="F13" s="198"/>
      <c r="G13" s="198"/>
      <c r="I13" s="202"/>
      <c r="J13" s="203"/>
      <c r="K13" s="455"/>
      <c r="L13" s="498"/>
    </row>
    <row r="14" spans="1:12" ht="13" x14ac:dyDescent="0.3">
      <c r="A14" s="50"/>
      <c r="B14" s="75" t="s">
        <v>24</v>
      </c>
      <c r="C14" s="77">
        <v>2794.2223618392604</v>
      </c>
      <c r="D14" s="78"/>
      <c r="E14" s="201">
        <f>C14*D11</f>
        <v>4051.6224246669281</v>
      </c>
      <c r="F14" s="198"/>
      <c r="G14" s="198"/>
      <c r="I14" s="145" t="s">
        <v>498</v>
      </c>
      <c r="J14" s="165"/>
      <c r="K14" s="168"/>
      <c r="L14" s="22">
        <f>L10+L12</f>
        <v>100293.59575872001</v>
      </c>
    </row>
    <row r="15" spans="1:12" ht="13" x14ac:dyDescent="0.3">
      <c r="A15" s="50"/>
      <c r="B15" s="10" t="s">
        <v>78</v>
      </c>
      <c r="C15" s="104">
        <v>0.12</v>
      </c>
      <c r="D15" s="78"/>
      <c r="E15" s="200">
        <f>SUM(E11:E14)*C15</f>
        <v>11984.708346460096</v>
      </c>
      <c r="F15" s="198"/>
      <c r="G15" s="198"/>
      <c r="I15" s="10" t="s">
        <v>23</v>
      </c>
      <c r="J15" s="77">
        <f ca="1">'Master Lookup'!C16</f>
        <v>8516.4863039663633</v>
      </c>
      <c r="K15" s="78"/>
      <c r="L15" s="200">
        <f ca="1">J15*K10</f>
        <v>12348.905140751227</v>
      </c>
    </row>
    <row r="16" spans="1:12" ht="13" x14ac:dyDescent="0.3">
      <c r="A16" s="50"/>
      <c r="B16" s="202" t="s">
        <v>26</v>
      </c>
      <c r="C16" s="203">
        <v>1.8521849532574713E-2</v>
      </c>
      <c r="D16" s="92"/>
      <c r="E16" s="204">
        <f>SUM(E11+E13+E14+E15)*C16</f>
        <v>2071.8036703926446</v>
      </c>
      <c r="F16" s="198"/>
      <c r="G16" s="198"/>
      <c r="I16" s="10" t="s">
        <v>24</v>
      </c>
      <c r="J16" s="77">
        <f ca="1">'Master Lookup'!C17</f>
        <v>3410.6245791447127</v>
      </c>
      <c r="K16" s="78"/>
      <c r="L16" s="200">
        <f ca="1">J16*K10</f>
        <v>4945.4056397598333</v>
      </c>
    </row>
    <row r="17" spans="1:12" ht="15" customHeight="1" x14ac:dyDescent="0.3">
      <c r="A17" s="50"/>
      <c r="B17" s="84" t="s">
        <v>12</v>
      </c>
      <c r="C17" s="92"/>
      <c r="D17" s="92"/>
      <c r="E17" s="154">
        <f>SUM(E11+E13+E14+E15+E16)</f>
        <v>113929.08157068689</v>
      </c>
      <c r="F17" s="198"/>
      <c r="G17" s="198"/>
      <c r="I17" s="145" t="s">
        <v>27</v>
      </c>
      <c r="J17" s="165"/>
      <c r="K17" s="20"/>
      <c r="L17" s="22">
        <f ca="1">SUM(L14:L16)</f>
        <v>117587.90653923107</v>
      </c>
    </row>
    <row r="18" spans="1:12" ht="13.5" thickBot="1" x14ac:dyDescent="0.35">
      <c r="A18" s="50"/>
      <c r="B18" s="87"/>
      <c r="C18" s="205"/>
      <c r="D18" s="206"/>
      <c r="E18" s="207"/>
      <c r="F18" s="18"/>
      <c r="G18" s="18"/>
      <c r="I18" s="10" t="s">
        <v>10</v>
      </c>
      <c r="J18" s="501">
        <f>'Master Lookup'!C21</f>
        <v>0.12</v>
      </c>
      <c r="K18" s="78"/>
      <c r="L18" s="200">
        <f ca="1">L17*J18</f>
        <v>14110.548784707727</v>
      </c>
    </row>
    <row r="19" spans="1:12" ht="14" thickTop="1" thickBot="1" x14ac:dyDescent="0.35">
      <c r="A19" s="50"/>
      <c r="B19" s="10" t="s">
        <v>37</v>
      </c>
      <c r="C19" s="151"/>
      <c r="D19" s="208"/>
      <c r="E19" s="209">
        <f>E17/E4</f>
        <v>74.17257914758261</v>
      </c>
      <c r="F19" s="18"/>
      <c r="G19" s="18"/>
      <c r="I19" s="10"/>
      <c r="J19" s="151"/>
      <c r="K19" s="75"/>
      <c r="L19" s="144"/>
    </row>
    <row r="20" spans="1:12" ht="13.5" thickBot="1" x14ac:dyDescent="0.35">
      <c r="A20" s="50"/>
      <c r="B20" s="210" t="s">
        <v>79</v>
      </c>
      <c r="C20" s="211"/>
      <c r="D20" s="212"/>
      <c r="E20" s="213">
        <f>E19*1.25</f>
        <v>92.715723934478262</v>
      </c>
      <c r="F20" s="214"/>
      <c r="G20" s="214"/>
      <c r="I20" s="202" t="s">
        <v>500</v>
      </c>
      <c r="J20" s="92"/>
      <c r="K20" s="92"/>
      <c r="L20" s="154">
        <f ca="1">L17+L18</f>
        <v>131698.4553239388</v>
      </c>
    </row>
    <row r="21" spans="1:12" ht="13.5" thickBot="1" x14ac:dyDescent="0.35">
      <c r="A21" s="50"/>
      <c r="B21" s="210" t="s">
        <v>80</v>
      </c>
      <c r="C21" s="212"/>
      <c r="D21" s="212"/>
      <c r="E21" s="213">
        <f>E20/5</f>
        <v>18.543144786895652</v>
      </c>
      <c r="F21" s="218"/>
      <c r="G21" s="218"/>
      <c r="I21" s="10" t="s">
        <v>26</v>
      </c>
      <c r="J21" s="151">
        <f>'Master Lookup'!C22</f>
        <v>3.2549514448865162E-2</v>
      </c>
      <c r="K21" s="497"/>
      <c r="L21" s="144">
        <f ca="1">J21*L17</f>
        <v>3827.429262910508</v>
      </c>
    </row>
    <row r="22" spans="1:12" ht="13.5" thickBot="1" x14ac:dyDescent="0.35">
      <c r="A22" s="50"/>
      <c r="B22" s="210" t="s">
        <v>81</v>
      </c>
      <c r="C22" s="215"/>
      <c r="D22" s="216"/>
      <c r="E22" s="217">
        <f>E21*0.25</f>
        <v>4.6357861967239131</v>
      </c>
      <c r="F22" s="218"/>
      <c r="G22" s="218"/>
      <c r="I22" s="202" t="s">
        <v>500</v>
      </c>
      <c r="J22" s="203"/>
      <c r="K22" s="500"/>
      <c r="L22" s="154">
        <f ca="1">L20+L21</f>
        <v>135525.88458684931</v>
      </c>
    </row>
    <row r="23" spans="1:12" ht="13" x14ac:dyDescent="0.3">
      <c r="A23" s="50"/>
      <c r="B23" s="24"/>
      <c r="C23" s="241"/>
      <c r="D23" s="491"/>
      <c r="E23" s="492"/>
      <c r="F23" s="218"/>
      <c r="G23" s="218"/>
      <c r="I23" s="10" t="s">
        <v>37</v>
      </c>
      <c r="J23" s="151"/>
      <c r="K23" s="497"/>
      <c r="L23" s="209">
        <f ca="1">L22/L4</f>
        <v>88.232997777896685</v>
      </c>
    </row>
    <row r="24" spans="1:12" ht="15.75" customHeight="1" x14ac:dyDescent="0.3">
      <c r="A24" s="50"/>
      <c r="B24" s="1"/>
      <c r="C24" s="1"/>
      <c r="D24" s="103"/>
      <c r="E24" s="219"/>
      <c r="F24" s="218"/>
      <c r="G24" s="218"/>
      <c r="I24" s="502" t="s">
        <v>79</v>
      </c>
      <c r="J24" s="238"/>
      <c r="K24" s="24"/>
      <c r="L24" s="503">
        <f ca="1">L23*1.25</f>
        <v>110.29124722237086</v>
      </c>
    </row>
    <row r="25" spans="1:12" ht="15.75" customHeight="1" x14ac:dyDescent="0.3">
      <c r="A25" s="50"/>
      <c r="B25" s="1"/>
      <c r="C25" s="1"/>
      <c r="D25" s="220"/>
      <c r="E25" s="221"/>
      <c r="F25" s="222"/>
      <c r="G25" s="218"/>
      <c r="I25" s="502" t="s">
        <v>80</v>
      </c>
      <c r="J25" s="24"/>
      <c r="K25" s="24"/>
      <c r="L25" s="503">
        <f ca="1">L24/5</f>
        <v>22.058249444474171</v>
      </c>
    </row>
    <row r="26" spans="1:12" ht="13.5" thickBot="1" x14ac:dyDescent="0.35">
      <c r="A26" s="50"/>
      <c r="B26" s="514"/>
      <c r="E26" s="158"/>
      <c r="F26" s="14"/>
      <c r="G26" s="223"/>
      <c r="I26" s="493" t="s">
        <v>81</v>
      </c>
      <c r="J26" s="494"/>
      <c r="K26" s="495"/>
      <c r="L26" s="496">
        <f ca="1">(L25*0.25)-0.01</f>
        <v>5.504562361118543</v>
      </c>
    </row>
    <row r="27" spans="1:12" ht="13" x14ac:dyDescent="0.3">
      <c r="A27" s="50"/>
      <c r="D27" s="194"/>
      <c r="E27" s="195"/>
      <c r="F27" s="224"/>
      <c r="G27" s="225"/>
      <c r="I27" s="24"/>
      <c r="J27" s="241"/>
      <c r="K27" s="497"/>
      <c r="L27" s="499"/>
    </row>
    <row r="28" spans="1:12" ht="13" x14ac:dyDescent="0.3">
      <c r="A28" s="50"/>
      <c r="D28" s="157"/>
      <c r="E28" s="196"/>
      <c r="F28" s="225"/>
      <c r="G28" s="225"/>
      <c r="I28" s="24"/>
      <c r="J28" s="241"/>
      <c r="K28" s="497" t="s">
        <v>495</v>
      </c>
      <c r="L28" s="504">
        <f ca="1">(L26-E22)/E22</f>
        <v>0.18740643496643344</v>
      </c>
    </row>
    <row r="29" spans="1:12" ht="13" x14ac:dyDescent="0.3">
      <c r="F29" s="1"/>
      <c r="G29" s="1"/>
      <c r="I29" s="1"/>
      <c r="J29" s="1"/>
      <c r="K29" s="103"/>
      <c r="L29" s="219"/>
    </row>
    <row r="30" spans="1:12" ht="13" x14ac:dyDescent="0.3">
      <c r="D30" s="194"/>
      <c r="E30" s="195"/>
      <c r="I30" s="1"/>
      <c r="J30" s="1"/>
      <c r="K30" s="220"/>
      <c r="L30" s="221"/>
    </row>
    <row r="31" spans="1:12" ht="13" x14ac:dyDescent="0.3">
      <c r="D31" s="157"/>
      <c r="E31" s="196"/>
      <c r="L31" s="158"/>
    </row>
    <row r="32" spans="1:12" ht="13" x14ac:dyDescent="0.3">
      <c r="K32" s="194"/>
      <c r="L32" s="195"/>
    </row>
    <row r="33" spans="1:12" ht="13" x14ac:dyDescent="0.3">
      <c r="B33" s="50"/>
      <c r="C33" s="50"/>
      <c r="D33" s="50"/>
      <c r="E33" s="50"/>
      <c r="K33" s="157"/>
      <c r="L33" s="196"/>
    </row>
    <row r="35" spans="1:12" ht="13" x14ac:dyDescent="0.3">
      <c r="K35" s="194"/>
      <c r="L35" s="195"/>
    </row>
    <row r="36" spans="1:12" ht="13" x14ac:dyDescent="0.3">
      <c r="K36" s="157"/>
      <c r="L36" s="196"/>
    </row>
    <row r="37" spans="1:12" x14ac:dyDescent="0.25">
      <c r="A37" s="50"/>
      <c r="F37" s="109"/>
      <c r="G37" s="109"/>
    </row>
    <row r="38" spans="1:12" x14ac:dyDescent="0.25">
      <c r="A38" s="50"/>
      <c r="F38" s="109"/>
      <c r="G38" s="109"/>
    </row>
    <row r="39" spans="1:12" x14ac:dyDescent="0.25">
      <c r="A39" s="50"/>
      <c r="F39" s="109"/>
      <c r="G39" s="109"/>
    </row>
    <row r="40" spans="1:12" x14ac:dyDescent="0.25">
      <c r="A40" s="50"/>
      <c r="F40" s="109"/>
      <c r="G40" s="109"/>
    </row>
    <row r="41" spans="1:12" x14ac:dyDescent="0.25">
      <c r="A41" s="50"/>
      <c r="F41" s="109"/>
      <c r="G41" s="109"/>
    </row>
    <row r="42" spans="1:12" x14ac:dyDescent="0.25">
      <c r="A42" s="50"/>
      <c r="F42" s="121"/>
      <c r="G42" s="121"/>
    </row>
    <row r="43" spans="1:12" x14ac:dyDescent="0.25">
      <c r="A43" s="50"/>
      <c r="F43" s="55"/>
      <c r="G43" s="55"/>
    </row>
    <row r="44" spans="1:12" ht="13" x14ac:dyDescent="0.3">
      <c r="A44" s="159"/>
      <c r="F44" s="93"/>
      <c r="G44" s="93"/>
    </row>
    <row r="45" spans="1:12" ht="13" x14ac:dyDescent="0.3">
      <c r="A45" s="159"/>
      <c r="F45" s="55"/>
      <c r="G45" s="55"/>
    </row>
    <row r="46" spans="1:12" ht="13" x14ac:dyDescent="0.3">
      <c r="A46" s="159"/>
      <c r="F46" s="64"/>
      <c r="G46" s="64"/>
    </row>
    <row r="47" spans="1:12" ht="13" x14ac:dyDescent="0.3">
      <c r="A47" s="159"/>
      <c r="F47" s="64"/>
      <c r="G47" s="64"/>
    </row>
    <row r="48" spans="1:12" ht="13" x14ac:dyDescent="0.3">
      <c r="A48" s="159"/>
      <c r="F48" s="108"/>
      <c r="G48" s="108"/>
    </row>
    <row r="49" spans="1:7" ht="13" x14ac:dyDescent="0.3">
      <c r="A49" s="159"/>
      <c r="G49" s="226"/>
    </row>
    <row r="50" spans="1:7" x14ac:dyDescent="0.25">
      <c r="A50" s="50"/>
      <c r="G50" s="226"/>
    </row>
    <row r="51" spans="1:7" x14ac:dyDescent="0.25">
      <c r="A51" s="50"/>
      <c r="G51" s="226"/>
    </row>
    <row r="52" spans="1:7" x14ac:dyDescent="0.25">
      <c r="A52" s="50"/>
      <c r="G52" s="226"/>
    </row>
    <row r="53" spans="1:7" x14ac:dyDescent="0.25">
      <c r="A53" s="50"/>
      <c r="G53" s="226"/>
    </row>
  </sheetData>
  <mergeCells count="2">
    <mergeCell ref="B3:E3"/>
    <mergeCell ref="I3:L3"/>
  </mergeCells>
  <pageMargins left="1" right="0.25" top="0.25" bottom="0.25" header="0.3" footer="0.3"/>
  <pageSetup fitToHeight="0" orientation="landscape" cellComments="asDisplayed"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FALL 24 CAF</vt:lpstr>
      <vt:lpstr>M2023 BLS Chart</vt:lpstr>
      <vt:lpstr>Master Lookup</vt:lpstr>
      <vt:lpstr>Rates</vt:lpstr>
      <vt:lpstr>Recovery Coach </vt:lpstr>
      <vt:lpstr>Outpatient Counseling </vt:lpstr>
      <vt:lpstr>Case Managment</vt:lpstr>
      <vt:lpstr>InHome Therapy</vt:lpstr>
      <vt:lpstr>Psycho.Ed</vt:lpstr>
      <vt:lpstr>Day Treatments</vt:lpstr>
      <vt:lpstr>RSC Models</vt:lpstr>
      <vt:lpstr>RSC Staff Add on Rates </vt:lpstr>
      <vt:lpstr>CAF Spring 2024</vt:lpstr>
      <vt:lpstr>UFR FY23 Combined</vt:lpstr>
      <vt:lpstr>UFR FY23 RSC 4930</vt:lpstr>
      <vt:lpstr>'FALL 24 CAF'!Print_Titles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Solimini, Kara (EHS)</dc:creator>
  <cp:lastModifiedBy>Harrison, Deborah (EHS)</cp:lastModifiedBy>
  <dcterms:created xsi:type="dcterms:W3CDTF">2022-10-18T12:10:56Z</dcterms:created>
  <dcterms:modified xsi:type="dcterms:W3CDTF">2025-06-20T15:29:38Z</dcterms:modified>
</cp:coreProperties>
</file>