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19416" windowHeight="10416" tabRatio="883" firstSheet="1" activeTab="1"/>
  </bookViews>
  <sheets>
    <sheet name="Rate Chart" sheetId="32" state="hidden" r:id="rId1"/>
    <sheet name="Chart" sheetId="17" r:id="rId2"/>
    <sheet name="Master Lookup change" sheetId="31" state="hidden" r:id="rId3"/>
    <sheet name="Spring 2018" sheetId="16" state="hidden" r:id="rId4"/>
    <sheet name="Recovery Coach (new)" sheetId="36" r:id="rId5"/>
    <sheet name="Methadone Dosing" sheetId="18" r:id="rId6"/>
    <sheet name="Methadone Counseling" sheetId="3" r:id="rId7"/>
    <sheet name="Fiscal Impact (2)" sheetId="34" state="hidden" r:id="rId8"/>
    <sheet name="Fiscal Impact" sheetId="33" state="hidden" r:id="rId9"/>
    <sheet name="Outpatient Counseling " sheetId="20" r:id="rId10"/>
    <sheet name="Family.Couple" sheetId="5" r:id="rId11"/>
    <sheet name="Psycho.Ed" sheetId="6" r:id="rId12"/>
    <sheet name="Day Treatments" sheetId="7" r:id="rId13"/>
    <sheet name="Telephone Rec" sheetId="8" r:id="rId14"/>
    <sheet name="Recovery Coaching" sheetId="9" state="hidden" r:id="rId15"/>
    <sheet name="InHome Therapy" sheetId="10" r:id="rId16"/>
    <sheet name="Case Management" sheetId="11" r:id="rId17"/>
    <sheet name="Master Lookup" sheetId="1" r:id="rId18"/>
    <sheet name="CAF 2020 Spring " sheetId="30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8" hidden="1">'Fiscal Impact'!$A$6:$R$61</definedName>
    <definedName name="_xlnm._FilterDatabase" localSheetId="7" hidden="1">'Fiscal Impact (2)'!$A$6:$S$61</definedName>
    <definedName name="asdfasdf" localSheetId="7">#REF!</definedName>
    <definedName name="asdfasdf" localSheetId="5">#REF!</definedName>
    <definedName name="asdfasdf" localSheetId="9">#REF!</definedName>
    <definedName name="asdfasdf">#REF!</definedName>
    <definedName name="Average" localSheetId="7">#REF!</definedName>
    <definedName name="Average" localSheetId="5">#REF!</definedName>
    <definedName name="Average" localSheetId="9">#REF!</definedName>
    <definedName name="Average">#REF!</definedName>
    <definedName name="CAF_NEW">[1]RawDataCalcs!$L$70:$DB$70</definedName>
    <definedName name="Cap" localSheetId="1">[2]RawDataCalcs!$L$13:$DB$13</definedName>
    <definedName name="Cap">[3]RawDataCalcs!$L$70:$DB$70</definedName>
    <definedName name="Data" localSheetId="7">#REF!</definedName>
    <definedName name="Data" localSheetId="5">#REF!</definedName>
    <definedName name="Data" localSheetId="9">#REF!</definedName>
    <definedName name="Data">#REF!</definedName>
    <definedName name="Floor" localSheetId="1">[2]RawDataCalcs!$L$12:$DB$12</definedName>
    <definedName name="Floor">[3]RawDataCalcs!$L$69:$DB$69</definedName>
    <definedName name="Funds">'[4]RawDataCalcs3386&amp;3401'!$L$68:$DB$68</definedName>
    <definedName name="gk" localSheetId="1">#REF!</definedName>
    <definedName name="gk" localSheetId="7">#REF!</definedName>
    <definedName name="gk" localSheetId="5">#REF!</definedName>
    <definedName name="gk" localSheetId="9">#REF!</definedName>
    <definedName name="gk" localSheetId="4">#REF!</definedName>
    <definedName name="gk">#REF!</definedName>
    <definedName name="hhh" localSheetId="7">#REF!</definedName>
    <definedName name="hhh" localSheetId="5">#REF!</definedName>
    <definedName name="hhh" localSheetId="9">#REF!</definedName>
    <definedName name="hhh">#REF!</definedName>
    <definedName name="JailDAverage" localSheetId="7">#REF!</definedName>
    <definedName name="JailDAverage" localSheetId="5">#REF!</definedName>
    <definedName name="JailDAverage" localSheetId="9">#REF!</definedName>
    <definedName name="JailDAverage">#REF!</definedName>
    <definedName name="JailDCap">[5]ALLRawDataCalcs!$L$80:$DB$80</definedName>
    <definedName name="JailDFloor">[5]ALLRawDataCalcs!$L$79:$DB$79</definedName>
    <definedName name="JailDgk" localSheetId="7">#REF!</definedName>
    <definedName name="JailDgk" localSheetId="5">#REF!</definedName>
    <definedName name="JailDgk" localSheetId="9">#REF!</definedName>
    <definedName name="JailDgk">#REF!</definedName>
    <definedName name="JailDMax" localSheetId="7">#REF!</definedName>
    <definedName name="JailDMax" localSheetId="5">#REF!</definedName>
    <definedName name="JailDMax" localSheetId="9">#REF!</definedName>
    <definedName name="JailDMax">#REF!</definedName>
    <definedName name="JailDMedian" localSheetId="7">#REF!</definedName>
    <definedName name="JailDMedian" localSheetId="5">#REF!</definedName>
    <definedName name="JailDMedian" localSheetId="9">#REF!</definedName>
    <definedName name="JailDMedian">#REF!</definedName>
    <definedName name="kls" localSheetId="7">#REF!</definedName>
    <definedName name="kls" localSheetId="5">#REF!</definedName>
    <definedName name="kls" localSheetId="9">#REF!</definedName>
    <definedName name="kls">#REF!</definedName>
    <definedName name="ListProviders">'[6]List of Programs'!$A$24:$A$29</definedName>
    <definedName name="Max" localSheetId="7">#REF!</definedName>
    <definedName name="Max" localSheetId="5">#REF!</definedName>
    <definedName name="Max" localSheetId="9">#REF!</definedName>
    <definedName name="Max">#REF!</definedName>
    <definedName name="Median" localSheetId="7">#REF!</definedName>
    <definedName name="Median" localSheetId="5">#REF!</definedName>
    <definedName name="Median" localSheetId="9">#REF!</definedName>
    <definedName name="Median">#REF!</definedName>
    <definedName name="Min" localSheetId="7">#REF!</definedName>
    <definedName name="Min" localSheetId="5">#REF!</definedName>
    <definedName name="Min" localSheetId="9">#REF!</definedName>
    <definedName name="Min">#REF!</definedName>
    <definedName name="MT" localSheetId="7">#REF!</definedName>
    <definedName name="MT" localSheetId="5">#REF!</definedName>
    <definedName name="MT" localSheetId="9">#REF!</definedName>
    <definedName name="MT">#REF!</definedName>
    <definedName name="new" localSheetId="7">#REF!</definedName>
    <definedName name="new" localSheetId="5">#REF!</definedName>
    <definedName name="new" localSheetId="9">#REF!</definedName>
    <definedName name="new">#REF!</definedName>
    <definedName name="ok" localSheetId="7">#REF!</definedName>
    <definedName name="ok" localSheetId="5">#REF!</definedName>
    <definedName name="ok" localSheetId="9">#REF!</definedName>
    <definedName name="ok">#REF!</definedName>
    <definedName name="_xlnm.Print_Area" localSheetId="16">'Case Management'!$B$2:$L$39</definedName>
    <definedName name="_xlnm.Print_Area" localSheetId="1">Chart!$B$1:$G$32</definedName>
    <definedName name="_xlnm.Print_Area" localSheetId="10">Family.Couple!$B$1:$F$40</definedName>
    <definedName name="_xlnm.Print_Area" localSheetId="15">'InHome Therapy'!$A$1:$K$42</definedName>
    <definedName name="_xlnm.Print_Area" localSheetId="17">'Master Lookup'!$A$1:$D$38</definedName>
    <definedName name="_xlnm.Print_Area" localSheetId="2">'Master Lookup change'!$A$1:$D$38</definedName>
    <definedName name="_xlnm.Print_Area" localSheetId="9">'Outpatient Counseling '!$H$2:$R$34</definedName>
    <definedName name="_xlnm.Print_Area" localSheetId="11">Psycho.Ed!$B$1:$G$45</definedName>
    <definedName name="_xlnm.Print_Area" localSheetId="14">'Recovery Coaching'!$A$1:$F$44</definedName>
    <definedName name="_xlnm.Print_Area" localSheetId="3">'Spring 2018'!$BF$16:$BQ$27</definedName>
    <definedName name="_xlnm.Print_Area" localSheetId="13">'Telephone Rec'!$B$1:$H$40</definedName>
    <definedName name="_xlnm.Print_Titles" localSheetId="18">'CAF 2020 Spring '!$A:$A</definedName>
    <definedName name="_xlnm.Print_Titles" localSheetId="0">'Rate Chart'!$2:$2</definedName>
    <definedName name="_xlnm.Print_Titles" localSheetId="3">'Spring 2018'!$A:$A</definedName>
    <definedName name="Program_File" localSheetId="1">#REF!</definedName>
    <definedName name="Program_File" localSheetId="7">#REF!</definedName>
    <definedName name="Program_File" localSheetId="5">#REF!</definedName>
    <definedName name="Program_File" localSheetId="9">#REF!</definedName>
    <definedName name="Program_File" localSheetId="4">#REF!</definedName>
    <definedName name="Program_File">#REF!</definedName>
    <definedName name="Programs">'[6]List of Programs'!$B$3:$B$19</definedName>
    <definedName name="ProvFTE" localSheetId="1">'[7]FTE Data'!$A$3:$AW$56</definedName>
    <definedName name="ProvFTE" localSheetId="4">'[8]FTE Data'!$A$3:$AW$56</definedName>
    <definedName name="ProvFTE">'[7]FTE Data'!$A$3:$AW$56</definedName>
    <definedName name="PurchasedBy" localSheetId="1">'[7]FTE Data'!$C$263:$AZ$657</definedName>
    <definedName name="PurchasedBy" localSheetId="4">'[8]FTE Data'!$C$263:$AZ$657</definedName>
    <definedName name="PurchasedBy">'[7]FTE Data'!$C$263:$AZ$657</definedName>
    <definedName name="resmay2007" localSheetId="7">#REF!</definedName>
    <definedName name="resmay2007" localSheetId="5">#REF!</definedName>
    <definedName name="resmay2007" localSheetId="9">#REF!</definedName>
    <definedName name="resmay2007">#REF!</definedName>
    <definedName name="Site_list" localSheetId="1">[7]Lists!$A$2:$A$53</definedName>
    <definedName name="Site_list" localSheetId="4">[8]Lists!$A$2:$A$53</definedName>
    <definedName name="Site_list">[7]Lists!$A$2:$A$53</definedName>
    <definedName name="Source" localSheetId="7">#REF!</definedName>
    <definedName name="Source" localSheetId="5">#REF!</definedName>
    <definedName name="Source" localSheetId="9">#REF!</definedName>
    <definedName name="Source">#REF!</definedName>
    <definedName name="Source_2" localSheetId="1">#REF!</definedName>
    <definedName name="Source_2" localSheetId="7">#REF!</definedName>
    <definedName name="Source_2" localSheetId="5">#REF!</definedName>
    <definedName name="Source_2" localSheetId="9">#REF!</definedName>
    <definedName name="Source_2" localSheetId="4">#REF!</definedName>
    <definedName name="Source_2">#REF!</definedName>
    <definedName name="SourcePathAndFileName" localSheetId="7">#REF!</definedName>
    <definedName name="SourcePathAndFileName" localSheetId="5">#REF!</definedName>
    <definedName name="SourcePathAndFileName" localSheetId="9">#REF!</definedName>
    <definedName name="SourcePathAndFileName">#REF!</definedName>
    <definedName name="Total_UFR" localSheetId="1">#REF!</definedName>
    <definedName name="Total_UFR" localSheetId="7">#REF!</definedName>
    <definedName name="Total_UFR" localSheetId="5">#REF!</definedName>
    <definedName name="Total_UFR" localSheetId="9">#REF!</definedName>
    <definedName name="Total_UFR" localSheetId="4">#REF!</definedName>
    <definedName name="Total_UFR">#REF!</definedName>
    <definedName name="Total_UFRs" localSheetId="7">#REF!</definedName>
    <definedName name="Total_UFRs" localSheetId="5">#REF!</definedName>
    <definedName name="Total_UFRs" localSheetId="9">#REF!</definedName>
    <definedName name="Total_UFRs">#REF!</definedName>
    <definedName name="Total_UFRs_" localSheetId="7">#REF!</definedName>
    <definedName name="Total_UFRs_" localSheetId="5">#REF!</definedName>
    <definedName name="Total_UFRs_" localSheetId="9">#REF!</definedName>
    <definedName name="Total_UFRs_">#REF!</definedName>
    <definedName name="UFR" localSheetId="7">'[9]Complete UFR List'!#REF!</definedName>
    <definedName name="UFR" localSheetId="5">'[9]Complete UFR List'!#REF!</definedName>
    <definedName name="UFR" localSheetId="9">'[9]Complete UFR List'!#REF!</definedName>
    <definedName name="UFR">'[9]Complete UFR List'!#REF!</definedName>
    <definedName name="UFRS" localSheetId="7">'[9]Complete UFR List'!#REF!</definedName>
    <definedName name="UFRS" localSheetId="5">'[9]Complete UFR List'!#REF!</definedName>
    <definedName name="UFRS" localSheetId="9">'[9]Complete UFR List'!#REF!</definedName>
    <definedName name="UFRS">'[9]Complete UFR List'!#REF!</definedName>
  </definedNames>
  <calcPr calcId="145621"/>
</workbook>
</file>

<file path=xl/calcChain.xml><?xml version="1.0" encoding="utf-8"?>
<calcChain xmlns="http://schemas.openxmlformats.org/spreadsheetml/2006/main">
  <c r="F24" i="5" l="1"/>
  <c r="F23" i="5" l="1"/>
  <c r="F23" i="10"/>
  <c r="S9" i="20"/>
  <c r="L23" i="20"/>
  <c r="E9" i="36" l="1"/>
  <c r="B8" i="36"/>
  <c r="D7" i="36"/>
  <c r="F7" i="36" s="1"/>
  <c r="B7" i="36"/>
  <c r="B5" i="36"/>
  <c r="G23" i="32"/>
  <c r="E23" i="32"/>
  <c r="F9" i="3"/>
  <c r="S8" i="34" l="1"/>
  <c r="S9" i="34"/>
  <c r="S10" i="34"/>
  <c r="S13" i="34"/>
  <c r="S14" i="34"/>
  <c r="S15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S28" i="34"/>
  <c r="S29" i="34"/>
  <c r="S30" i="34"/>
  <c r="S31" i="34"/>
  <c r="S32" i="34"/>
  <c r="S33" i="34"/>
  <c r="S34" i="34"/>
  <c r="S35" i="34"/>
  <c r="S36" i="34"/>
  <c r="S37" i="34"/>
  <c r="S38" i="34"/>
  <c r="S39" i="34"/>
  <c r="S40" i="34"/>
  <c r="S41" i="34"/>
  <c r="S42" i="34"/>
  <c r="S43" i="34"/>
  <c r="S44" i="34"/>
  <c r="S45" i="34"/>
  <c r="S46" i="34"/>
  <c r="S47" i="34"/>
  <c r="S48" i="34"/>
  <c r="S49" i="34"/>
  <c r="S50" i="34"/>
  <c r="S51" i="34"/>
  <c r="S52" i="34"/>
  <c r="S53" i="34"/>
  <c r="S54" i="34"/>
  <c r="S55" i="34"/>
  <c r="S56" i="34"/>
  <c r="S57" i="34"/>
  <c r="S58" i="34"/>
  <c r="S59" i="34"/>
  <c r="S60" i="34"/>
  <c r="S61" i="34"/>
  <c r="S62" i="34"/>
  <c r="S63" i="34"/>
  <c r="S64" i="34"/>
  <c r="S65" i="34"/>
  <c r="S66" i="34"/>
  <c r="S67" i="34"/>
  <c r="S68" i="34"/>
  <c r="S69" i="34"/>
  <c r="S70" i="34"/>
  <c r="S71" i="34"/>
  <c r="S72" i="34"/>
  <c r="S7" i="34"/>
  <c r="E12" i="34"/>
  <c r="S12" i="34" s="1"/>
  <c r="E11" i="34"/>
  <c r="S11" i="34" s="1"/>
  <c r="M6" i="7"/>
  <c r="M7" i="7"/>
  <c r="M8" i="7"/>
  <c r="M9" i="7"/>
  <c r="M5" i="7"/>
  <c r="B8" i="7"/>
  <c r="J8" i="7" s="1"/>
  <c r="K10" i="20"/>
  <c r="E11" i="18"/>
  <c r="E11" i="3"/>
  <c r="S73" i="34" l="1"/>
  <c r="BQ21" i="30" l="1"/>
  <c r="BR21" i="30"/>
  <c r="BS21" i="30"/>
  <c r="BT21" i="30"/>
  <c r="BU21" i="30"/>
  <c r="BV21" i="30"/>
  <c r="BW21" i="30"/>
  <c r="BP21" i="30"/>
  <c r="BQ20" i="30"/>
  <c r="BR20" i="30"/>
  <c r="BS20" i="30"/>
  <c r="BT20" i="30"/>
  <c r="BU20" i="30"/>
  <c r="BV20" i="30"/>
  <c r="BW20" i="30"/>
  <c r="BP20" i="30"/>
  <c r="BP17" i="30"/>
  <c r="BP16" i="30"/>
  <c r="B7" i="10" l="1"/>
  <c r="H8" i="20" l="1"/>
  <c r="B7" i="11"/>
  <c r="B6" i="11"/>
  <c r="B6" i="10"/>
  <c r="B6" i="7"/>
  <c r="B8" i="5" l="1"/>
  <c r="B7" i="5"/>
  <c r="E44" i="32" l="1"/>
  <c r="E43" i="32"/>
  <c r="E42" i="32"/>
  <c r="E41" i="32"/>
  <c r="E40" i="32"/>
  <c r="E39" i="32"/>
  <c r="E38" i="32"/>
  <c r="E37" i="32"/>
  <c r="H34" i="32"/>
  <c r="H35" i="32"/>
  <c r="H36" i="32"/>
  <c r="E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2" i="32"/>
  <c r="E21" i="32"/>
  <c r="B7" i="7"/>
  <c r="J7" i="7" s="1"/>
  <c r="B21" i="1"/>
  <c r="B20" i="1"/>
  <c r="H7" i="11" s="1"/>
  <c r="B7" i="8" l="1"/>
  <c r="B7" i="6"/>
  <c r="C13" i="1"/>
  <c r="D5" i="36" s="1"/>
  <c r="F5" i="36" s="1"/>
  <c r="I30" i="31" l="1"/>
  <c r="I31" i="31"/>
  <c r="I25" i="31"/>
  <c r="J25" i="31" s="1"/>
  <c r="I24" i="31"/>
  <c r="J24" i="31" s="1"/>
  <c r="I13" i="31"/>
  <c r="J13" i="31" s="1"/>
  <c r="H20" i="31"/>
  <c r="C28" i="31"/>
  <c r="I28" i="31" s="1"/>
  <c r="J28" i="31" s="1"/>
  <c r="C27" i="31"/>
  <c r="I27" i="31" s="1"/>
  <c r="J27" i="31" s="1"/>
  <c r="C26" i="31"/>
  <c r="I26" i="31" s="1"/>
  <c r="J26" i="31" s="1"/>
  <c r="C25" i="31"/>
  <c r="C24" i="31"/>
  <c r="C14" i="31"/>
  <c r="I14" i="31" s="1"/>
  <c r="J14" i="31" s="1"/>
  <c r="C12" i="31"/>
  <c r="I12" i="31" s="1"/>
  <c r="J12" i="31" s="1"/>
  <c r="D8" i="31"/>
  <c r="D7" i="31"/>
  <c r="D6" i="31"/>
  <c r="D5" i="31"/>
  <c r="D9" i="31" l="1"/>
  <c r="D10" i="31" s="1"/>
  <c r="D18" i="18" l="1"/>
  <c r="D14" i="18"/>
  <c r="BW36" i="30" l="1"/>
  <c r="BV36" i="30"/>
  <c r="BU36" i="30"/>
  <c r="BT36" i="30"/>
  <c r="BS36" i="30"/>
  <c r="BR36" i="30"/>
  <c r="BQ36" i="30"/>
  <c r="BP36" i="30"/>
  <c r="BY36" i="30" s="1"/>
  <c r="BY38" i="30" s="1"/>
  <c r="C35" i="31" s="1"/>
  <c r="BW35" i="30"/>
  <c r="BV35" i="30"/>
  <c r="BU35" i="30"/>
  <c r="BT35" i="30"/>
  <c r="BS35" i="30"/>
  <c r="BR35" i="30"/>
  <c r="BQ35" i="30"/>
  <c r="BP35" i="30"/>
  <c r="BP32" i="30"/>
  <c r="BY32" i="30" s="1"/>
  <c r="BP31" i="30"/>
  <c r="BY21" i="30"/>
  <c r="BY23" i="30" s="1"/>
  <c r="BY17" i="30"/>
  <c r="C35" i="1" l="1"/>
  <c r="D23" i="18" s="1"/>
  <c r="C31" i="17"/>
  <c r="H22" i="11"/>
  <c r="J23" i="7"/>
  <c r="E17" i="11" l="1"/>
  <c r="K17" i="11" s="1"/>
  <c r="B17" i="11"/>
  <c r="H17" i="11" s="1"/>
  <c r="E17" i="10"/>
  <c r="B17" i="10"/>
  <c r="E17" i="9"/>
  <c r="B17" i="9"/>
  <c r="D16" i="8"/>
  <c r="B16" i="8"/>
  <c r="L18" i="7"/>
  <c r="D18" i="7"/>
  <c r="J18" i="7"/>
  <c r="B18" i="7"/>
  <c r="D16" i="6"/>
  <c r="B16" i="6"/>
  <c r="D17" i="5"/>
  <c r="B17" i="5"/>
  <c r="J17" i="20" l="1"/>
  <c r="H17" i="20"/>
  <c r="B18" i="3" l="1"/>
  <c r="D21" i="18"/>
  <c r="C14" i="1"/>
  <c r="D7" i="18" s="1"/>
  <c r="C12" i="1"/>
  <c r="D6" i="18" s="1"/>
  <c r="D6" i="3" s="1"/>
  <c r="C28" i="1"/>
  <c r="E15" i="36" s="1"/>
  <c r="F15" i="36" s="1"/>
  <c r="C27" i="1"/>
  <c r="D19" i="18" s="1"/>
  <c r="C26" i="1"/>
  <c r="E17" i="36" s="1"/>
  <c r="F17" i="36" s="1"/>
  <c r="C25" i="1"/>
  <c r="E16" i="36" s="1"/>
  <c r="F16" i="36" s="1"/>
  <c r="C24" i="1"/>
  <c r="D17" i="18" s="1"/>
  <c r="B10" i="18"/>
  <c r="B9" i="18"/>
  <c r="B7" i="18"/>
  <c r="B6" i="18"/>
  <c r="J20" i="20" l="1"/>
  <c r="J18" i="20"/>
  <c r="J16" i="20"/>
  <c r="J13" i="20"/>
  <c r="H9" i="20"/>
  <c r="H7" i="20"/>
  <c r="J6" i="20"/>
  <c r="L6" i="20" s="1"/>
  <c r="H6" i="20"/>
  <c r="F17" i="18"/>
  <c r="F7" i="18"/>
  <c r="F6" i="18"/>
  <c r="C22" i="17"/>
  <c r="H21" i="17"/>
  <c r="D21" i="17"/>
  <c r="D22" i="17" s="1"/>
  <c r="C20" i="17"/>
  <c r="H19" i="17"/>
  <c r="D19" i="17"/>
  <c r="D20" i="17" s="1"/>
  <c r="C18" i="17"/>
  <c r="H17" i="17"/>
  <c r="D17" i="17"/>
  <c r="D18" i="17" s="1"/>
  <c r="C16" i="17"/>
  <c r="D7" i="3" s="1"/>
  <c r="H15" i="17"/>
  <c r="D15" i="17"/>
  <c r="D16" i="17" s="1"/>
  <c r="C14" i="17"/>
  <c r="H13" i="17"/>
  <c r="D13" i="17"/>
  <c r="D14" i="17" s="1"/>
  <c r="C12" i="17"/>
  <c r="H11" i="17"/>
  <c r="D11" i="17"/>
  <c r="D12" i="17" s="1"/>
  <c r="D9" i="17"/>
  <c r="D10" i="17" s="1"/>
  <c r="C10" i="17"/>
  <c r="C8" i="17"/>
  <c r="H7" i="17"/>
  <c r="D7" i="17"/>
  <c r="D8" i="17" s="1"/>
  <c r="C6" i="17"/>
  <c r="H5" i="17"/>
  <c r="D5" i="17"/>
  <c r="C4" i="17"/>
  <c r="H3" i="17"/>
  <c r="D3" i="17"/>
  <c r="D4" i="17" s="1"/>
  <c r="C16" i="1" l="1"/>
  <c r="D8" i="18"/>
  <c r="C16" i="31"/>
  <c r="I16" i="31" s="1"/>
  <c r="J16" i="31" s="1"/>
  <c r="C19" i="31"/>
  <c r="I19" i="31" s="1"/>
  <c r="J19" i="31" s="1"/>
  <c r="C22" i="31"/>
  <c r="I22" i="31" s="1"/>
  <c r="J22" i="31" s="1"/>
  <c r="C21" i="31"/>
  <c r="I21" i="31" s="1"/>
  <c r="J21" i="31" s="1"/>
  <c r="J7" i="20"/>
  <c r="L7" i="20" s="1"/>
  <c r="C17" i="31"/>
  <c r="I17" i="31" s="1"/>
  <c r="J17" i="31" s="1"/>
  <c r="C17" i="1"/>
  <c r="C15" i="1"/>
  <c r="F8" i="18" s="1"/>
  <c r="C15" i="31"/>
  <c r="I15" i="31" s="1"/>
  <c r="J15" i="31" s="1"/>
  <c r="C20" i="1"/>
  <c r="C20" i="31"/>
  <c r="I20" i="31" s="1"/>
  <c r="J20" i="31" s="1"/>
  <c r="C18" i="1"/>
  <c r="C18" i="31"/>
  <c r="I18" i="31" s="1"/>
  <c r="J18" i="31" s="1"/>
  <c r="D7" i="10"/>
  <c r="D7" i="11"/>
  <c r="D8" i="5"/>
  <c r="D6" i="8"/>
  <c r="J8" i="20"/>
  <c r="D6" i="9"/>
  <c r="D6" i="6"/>
  <c r="D7" i="6"/>
  <c r="J7" i="11"/>
  <c r="D7" i="7"/>
  <c r="D7" i="8"/>
  <c r="L8" i="20"/>
  <c r="C26" i="17"/>
  <c r="C21" i="1"/>
  <c r="C19" i="1"/>
  <c r="C22" i="1"/>
  <c r="J5" i="17"/>
  <c r="J22" i="11"/>
  <c r="D22" i="10"/>
  <c r="D22" i="11"/>
  <c r="D21" i="6"/>
  <c r="D22" i="9"/>
  <c r="D21" i="8"/>
  <c r="D23" i="7"/>
  <c r="L23" i="7" s="1"/>
  <c r="D22" i="5"/>
  <c r="J22" i="20"/>
  <c r="D23" i="3"/>
  <c r="L18" i="20"/>
  <c r="L16" i="20"/>
  <c r="D6" i="17"/>
  <c r="J11" i="17"/>
  <c r="J15" i="17"/>
  <c r="J19" i="17"/>
  <c r="J3" i="17"/>
  <c r="J7" i="17"/>
  <c r="J13" i="17"/>
  <c r="J17" i="17"/>
  <c r="J21" i="17"/>
  <c r="D8" i="3" l="1"/>
  <c r="D6" i="36"/>
  <c r="F6" i="36" s="1"/>
  <c r="F9" i="36" s="1"/>
  <c r="D8" i="7"/>
  <c r="D9" i="18"/>
  <c r="F9" i="18" s="1"/>
  <c r="D8" i="36"/>
  <c r="F8" i="36" s="1"/>
  <c r="D6" i="10"/>
  <c r="D6" i="11"/>
  <c r="J6" i="11" s="1"/>
  <c r="D6" i="7"/>
  <c r="D7" i="5"/>
  <c r="D10" i="18"/>
  <c r="F10" i="18" s="1"/>
  <c r="J9" i="20"/>
  <c r="L9" i="20" s="1"/>
  <c r="L10" i="20" s="1"/>
  <c r="L8" i="7" l="1"/>
  <c r="N8" i="7" s="1"/>
  <c r="F8" i="7"/>
  <c r="F11" i="18"/>
  <c r="F18" i="18" s="1"/>
  <c r="F11" i="36"/>
  <c r="F12" i="36"/>
  <c r="L17" i="20"/>
  <c r="L13" i="20"/>
  <c r="L14" i="20" s="1"/>
  <c r="D12" i="11"/>
  <c r="J12" i="11" s="1"/>
  <c r="D12" i="10"/>
  <c r="D12" i="9"/>
  <c r="D12" i="8"/>
  <c r="D13" i="7"/>
  <c r="D12" i="6"/>
  <c r="D13" i="5"/>
  <c r="D14" i="3"/>
  <c r="F14" i="18" l="1"/>
  <c r="F15" i="18" s="1"/>
  <c r="F20" i="18" s="1"/>
  <c r="F21" i="18" s="1"/>
  <c r="F22" i="18" s="1"/>
  <c r="F23" i="18" s="1"/>
  <c r="F13" i="36"/>
  <c r="F18" i="36" s="1"/>
  <c r="F19" i="36" s="1"/>
  <c r="F20" i="36" s="1"/>
  <c r="F21" i="36" s="1"/>
  <c r="F22" i="36" s="1"/>
  <c r="L19" i="20"/>
  <c r="L20" i="20" s="1"/>
  <c r="L21" i="20" s="1"/>
  <c r="L22" i="20" s="1"/>
  <c r="K31" i="20" s="1"/>
  <c r="R6" i="20" s="1"/>
  <c r="BQ24" i="16"/>
  <c r="BH20" i="16"/>
  <c r="BQ20" i="16" s="1"/>
  <c r="BH19" i="16"/>
  <c r="T61" i="34" l="1"/>
  <c r="T22" i="34"/>
  <c r="G29" i="32"/>
  <c r="G33" i="32"/>
  <c r="H33" i="32" s="1"/>
  <c r="F24" i="18"/>
  <c r="K32" i="20"/>
  <c r="K33" i="20" s="1"/>
  <c r="BQ26" i="16"/>
  <c r="U22" i="34" l="1"/>
  <c r="T23" i="34"/>
  <c r="U23" i="34" s="1"/>
  <c r="T62" i="34"/>
  <c r="U62" i="34" s="1"/>
  <c r="U61" i="34"/>
  <c r="G21" i="32"/>
  <c r="H21" i="32" s="1"/>
  <c r="R14" i="20"/>
  <c r="G41" i="32" s="1"/>
  <c r="H41" i="32" s="1"/>
  <c r="R8" i="20"/>
  <c r="R7" i="20"/>
  <c r="R13" i="20" l="1"/>
  <c r="G40" i="32" s="1"/>
  <c r="H40" i="32" s="1"/>
  <c r="G31" i="32"/>
  <c r="T7" i="34"/>
  <c r="T8" i="34"/>
  <c r="T7" i="33"/>
  <c r="T8" i="33"/>
  <c r="T22" i="33"/>
  <c r="T61" i="33"/>
  <c r="K34" i="20"/>
  <c r="R10" i="20"/>
  <c r="G37" i="32" s="1"/>
  <c r="H37" i="32" s="1"/>
  <c r="R11" i="20"/>
  <c r="G38" i="32" s="1"/>
  <c r="H38" i="32" s="1"/>
  <c r="T26" i="34" l="1"/>
  <c r="U7" i="34"/>
  <c r="T24" i="34"/>
  <c r="T18" i="34"/>
  <c r="U18" i="34" s="1"/>
  <c r="T19" i="34"/>
  <c r="U19" i="34" s="1"/>
  <c r="T27" i="34"/>
  <c r="U27" i="34" s="1"/>
  <c r="U8" i="34"/>
  <c r="U61" i="33"/>
  <c r="T62" i="33"/>
  <c r="U62" i="33" s="1"/>
  <c r="U8" i="33"/>
  <c r="T19" i="33"/>
  <c r="U19" i="33" s="1"/>
  <c r="T27" i="33"/>
  <c r="U27" i="33" s="1"/>
  <c r="U22" i="33"/>
  <c r="T23" i="33"/>
  <c r="U23" i="33" s="1"/>
  <c r="U7" i="33"/>
  <c r="T18" i="33"/>
  <c r="U18" i="33" s="1"/>
  <c r="T24" i="33"/>
  <c r="T26" i="33"/>
  <c r="K35" i="20"/>
  <c r="G44" i="32" s="1"/>
  <c r="H44" i="32" s="1"/>
  <c r="G43" i="32"/>
  <c r="H43" i="32" s="1"/>
  <c r="R12" i="20"/>
  <c r="T28" i="34" l="1"/>
  <c r="T25" i="34"/>
  <c r="U25" i="34" s="1"/>
  <c r="U24" i="34"/>
  <c r="U26" i="34"/>
  <c r="T41" i="34"/>
  <c r="U26" i="33"/>
  <c r="T41" i="33"/>
  <c r="G39" i="32"/>
  <c r="H39" i="32" s="1"/>
  <c r="T28" i="33"/>
  <c r="U24" i="33"/>
  <c r="T25" i="33"/>
  <c r="U25" i="33" s="1"/>
  <c r="R9" i="20"/>
  <c r="R15" i="20"/>
  <c r="G42" i="32" s="1"/>
  <c r="H42" i="32" s="1"/>
  <c r="T49" i="34" l="1"/>
  <c r="T42" i="34"/>
  <c r="U42" i="34" s="1"/>
  <c r="U41" i="34"/>
  <c r="U28" i="34"/>
  <c r="T29" i="34"/>
  <c r="U28" i="33"/>
  <c r="T29" i="33"/>
  <c r="T42" i="33"/>
  <c r="U42" i="33" s="1"/>
  <c r="U41" i="33"/>
  <c r="T49" i="33"/>
  <c r="D8" i="1"/>
  <c r="D7" i="1"/>
  <c r="D6" i="1"/>
  <c r="D5" i="1"/>
  <c r="T50" i="34" l="1"/>
  <c r="U49" i="34"/>
  <c r="U29" i="34"/>
  <c r="T39" i="34"/>
  <c r="T50" i="33"/>
  <c r="U49" i="33"/>
  <c r="T39" i="33"/>
  <c r="U29" i="33"/>
  <c r="D9" i="1"/>
  <c r="D10" i="1" s="1"/>
  <c r="T53" i="34" l="1"/>
  <c r="T40" i="34"/>
  <c r="U40" i="34" s="1"/>
  <c r="U39" i="34"/>
  <c r="T51" i="34"/>
  <c r="U50" i="34"/>
  <c r="T53" i="33"/>
  <c r="U39" i="33"/>
  <c r="T40" i="33"/>
  <c r="U40" i="33" s="1"/>
  <c r="T51" i="33"/>
  <c r="U50" i="33"/>
  <c r="D5" i="11"/>
  <c r="T52" i="34" l="1"/>
  <c r="U52" i="34" s="1"/>
  <c r="U51" i="34"/>
  <c r="T54" i="34"/>
  <c r="U54" i="34" s="1"/>
  <c r="U53" i="34"/>
  <c r="U51" i="33"/>
  <c r="T52" i="33"/>
  <c r="U52" i="33" s="1"/>
  <c r="T54" i="33"/>
  <c r="U54" i="33" s="1"/>
  <c r="U53" i="33"/>
  <c r="B5" i="10"/>
  <c r="D5" i="10"/>
  <c r="B8" i="11"/>
  <c r="H8" i="11" s="1"/>
  <c r="H6" i="11"/>
  <c r="B5" i="11"/>
  <c r="H5" i="11" s="1"/>
  <c r="B8" i="9"/>
  <c r="B7" i="9"/>
  <c r="B6" i="9"/>
  <c r="B5" i="9"/>
  <c r="B8" i="8"/>
  <c r="B6" i="8"/>
  <c r="B5" i="8"/>
  <c r="B9" i="7"/>
  <c r="B5" i="7"/>
  <c r="B8" i="6"/>
  <c r="B6" i="6"/>
  <c r="B5" i="6"/>
  <c r="B9" i="5"/>
  <c r="B6" i="5"/>
  <c r="B10" i="3"/>
  <c r="B7" i="3"/>
  <c r="B6" i="3"/>
  <c r="K18" i="11" l="1"/>
  <c r="K16" i="11"/>
  <c r="K15" i="11"/>
  <c r="L15" i="11" s="1"/>
  <c r="J20" i="11"/>
  <c r="L7" i="11"/>
  <c r="J8" i="11"/>
  <c r="L8" i="11" s="1"/>
  <c r="L6" i="11"/>
  <c r="J5" i="11"/>
  <c r="L5" i="11" s="1"/>
  <c r="E18" i="11"/>
  <c r="E16" i="11"/>
  <c r="E15" i="11"/>
  <c r="F15" i="11" s="1"/>
  <c r="D20" i="11"/>
  <c r="D8" i="11"/>
  <c r="F8" i="11" s="1"/>
  <c r="F7" i="11"/>
  <c r="F6" i="11"/>
  <c r="F5" i="11"/>
  <c r="K9" i="11"/>
  <c r="E9" i="11"/>
  <c r="E18" i="10"/>
  <c r="E16" i="10"/>
  <c r="E15" i="10"/>
  <c r="F15" i="10" s="1"/>
  <c r="D20" i="10"/>
  <c r="D8" i="10"/>
  <c r="F8" i="10" s="1"/>
  <c r="F7" i="10"/>
  <c r="F6" i="10"/>
  <c r="F5" i="10"/>
  <c r="E9" i="10"/>
  <c r="E15" i="9"/>
  <c r="F15" i="9" s="1"/>
  <c r="E18" i="9"/>
  <c r="E16" i="9"/>
  <c r="D20" i="9"/>
  <c r="D8" i="9"/>
  <c r="D7" i="9"/>
  <c r="F7" i="9" s="1"/>
  <c r="F6" i="9"/>
  <c r="D5" i="9"/>
  <c r="F5" i="9" s="1"/>
  <c r="F8" i="9"/>
  <c r="E9" i="9"/>
  <c r="D17" i="8"/>
  <c r="D15" i="8"/>
  <c r="D19" i="8"/>
  <c r="D8" i="8"/>
  <c r="F8" i="8" s="1"/>
  <c r="F7" i="8"/>
  <c r="F6" i="8"/>
  <c r="D5" i="8"/>
  <c r="F5" i="8" s="1"/>
  <c r="E9" i="8"/>
  <c r="L16" i="7"/>
  <c r="N16" i="7" s="1"/>
  <c r="J16" i="7"/>
  <c r="J6" i="7"/>
  <c r="J9" i="7"/>
  <c r="J5" i="7"/>
  <c r="D16" i="7"/>
  <c r="F16" i="7" s="1"/>
  <c r="D19" i="7"/>
  <c r="L19" i="7" s="1"/>
  <c r="D17" i="7"/>
  <c r="L17" i="7" s="1"/>
  <c r="D20" i="5"/>
  <c r="D19" i="6"/>
  <c r="D21" i="7"/>
  <c r="L21" i="7" s="1"/>
  <c r="L13" i="7"/>
  <c r="D9" i="7"/>
  <c r="F9" i="7" s="1"/>
  <c r="F6" i="7"/>
  <c r="D5" i="7"/>
  <c r="F5" i="7" s="1"/>
  <c r="M10" i="7"/>
  <c r="E10" i="7"/>
  <c r="D17" i="6"/>
  <c r="D15" i="6"/>
  <c r="D8" i="6"/>
  <c r="F7" i="6"/>
  <c r="F6" i="6"/>
  <c r="D5" i="6"/>
  <c r="F5" i="6" s="1"/>
  <c r="F8" i="6"/>
  <c r="E9" i="6"/>
  <c r="D18" i="5"/>
  <c r="D16" i="5"/>
  <c r="D9" i="5"/>
  <c r="F9" i="5" s="1"/>
  <c r="F8" i="5"/>
  <c r="F7" i="5"/>
  <c r="D6" i="5"/>
  <c r="F6" i="5" s="1"/>
  <c r="E10" i="5"/>
  <c r="F9" i="9" l="1"/>
  <c r="F7" i="7"/>
  <c r="F10" i="7" s="1"/>
  <c r="L7" i="7"/>
  <c r="N7" i="7" s="1"/>
  <c r="L9" i="11"/>
  <c r="F9" i="11"/>
  <c r="F18" i="11"/>
  <c r="F16" i="11"/>
  <c r="L18" i="11"/>
  <c r="L16" i="11"/>
  <c r="F9" i="10"/>
  <c r="F18" i="10"/>
  <c r="F16" i="10"/>
  <c r="F18" i="9"/>
  <c r="F16" i="9"/>
  <c r="L6" i="7"/>
  <c r="N6" i="7" s="1"/>
  <c r="L9" i="7"/>
  <c r="N9" i="7" s="1"/>
  <c r="L5" i="7"/>
  <c r="N5" i="7" s="1"/>
  <c r="F9" i="8"/>
  <c r="F17" i="8"/>
  <c r="F15" i="8"/>
  <c r="F19" i="7"/>
  <c r="F17" i="7"/>
  <c r="N19" i="7"/>
  <c r="N17" i="7"/>
  <c r="F17" i="6"/>
  <c r="F9" i="6"/>
  <c r="F15" i="6"/>
  <c r="F10" i="5"/>
  <c r="F18" i="5"/>
  <c r="F16" i="5"/>
  <c r="L12" i="11" l="1"/>
  <c r="L13" i="11" s="1"/>
  <c r="L17" i="11"/>
  <c r="F12" i="11"/>
  <c r="F13" i="11" s="1"/>
  <c r="F17" i="11"/>
  <c r="F12" i="10"/>
  <c r="F13" i="10" s="1"/>
  <c r="F17" i="10"/>
  <c r="F12" i="9"/>
  <c r="F13" i="9" s="1"/>
  <c r="F17" i="9"/>
  <c r="F12" i="8"/>
  <c r="F13" i="8" s="1"/>
  <c r="F16" i="8"/>
  <c r="F13" i="7"/>
  <c r="F14" i="7" s="1"/>
  <c r="F18" i="7"/>
  <c r="F12" i="6"/>
  <c r="F13" i="6" s="1"/>
  <c r="F16" i="6"/>
  <c r="F13" i="5"/>
  <c r="F14" i="5" s="1"/>
  <c r="F17" i="5"/>
  <c r="N10" i="7"/>
  <c r="D21" i="3"/>
  <c r="D19" i="3"/>
  <c r="D17" i="3"/>
  <c r="F17" i="3" s="1"/>
  <c r="D10" i="3"/>
  <c r="F7" i="3"/>
  <c r="F18" i="6" l="1"/>
  <c r="F19" i="6" s="1"/>
  <c r="F19" i="5"/>
  <c r="F20" i="5" s="1"/>
  <c r="F21" i="5" s="1"/>
  <c r="F22" i="5" s="1"/>
  <c r="F20" i="7"/>
  <c r="F21" i="7" s="1"/>
  <c r="F22" i="7" s="1"/>
  <c r="F23" i="7" s="1"/>
  <c r="F24" i="7" s="1"/>
  <c r="F18" i="8"/>
  <c r="F19" i="8" s="1"/>
  <c r="F20" i="8" s="1"/>
  <c r="F21" i="8" s="1"/>
  <c r="E13" i="11"/>
  <c r="F19" i="11"/>
  <c r="F20" i="11" s="1"/>
  <c r="F21" i="11" s="1"/>
  <c r="F22" i="11" s="1"/>
  <c r="F23" i="11" s="1"/>
  <c r="K13" i="11"/>
  <c r="L19" i="11"/>
  <c r="L20" i="11" s="1"/>
  <c r="L21" i="11" s="1"/>
  <c r="L22" i="11" s="1"/>
  <c r="F19" i="10"/>
  <c r="F20" i="10" s="1"/>
  <c r="F21" i="10" s="1"/>
  <c r="E13" i="10"/>
  <c r="E13" i="9"/>
  <c r="F19" i="9"/>
  <c r="F20" i="9" s="1"/>
  <c r="F21" i="9" s="1"/>
  <c r="F22" i="9" s="1"/>
  <c r="N13" i="7"/>
  <c r="N14" i="7" s="1"/>
  <c r="N18" i="7"/>
  <c r="F8" i="3"/>
  <c r="F6" i="3"/>
  <c r="F10" i="3"/>
  <c r="F19" i="3"/>
  <c r="T20" i="33" l="1"/>
  <c r="T20" i="34"/>
  <c r="U20" i="33"/>
  <c r="T21" i="33"/>
  <c r="U21" i="33" s="1"/>
  <c r="F23" i="9"/>
  <c r="F24" i="9" s="1"/>
  <c r="L23" i="11"/>
  <c r="L24" i="11" s="1"/>
  <c r="F22" i="8"/>
  <c r="F23" i="8" s="1"/>
  <c r="G26" i="32"/>
  <c r="H26" i="32" s="1"/>
  <c r="N20" i="7"/>
  <c r="F22" i="10"/>
  <c r="F24" i="11"/>
  <c r="F20" i="6"/>
  <c r="F21" i="6" s="1"/>
  <c r="F22" i="6" s="1"/>
  <c r="F11" i="3"/>
  <c r="T14" i="33" l="1"/>
  <c r="T14" i="34"/>
  <c r="T13" i="34"/>
  <c r="U13" i="34" s="1"/>
  <c r="T12" i="34"/>
  <c r="U12" i="34" s="1"/>
  <c r="T10" i="34"/>
  <c r="U10" i="34" s="1"/>
  <c r="T9" i="34"/>
  <c r="U9" i="34" s="1"/>
  <c r="T30" i="34"/>
  <c r="T21" i="34"/>
  <c r="U21" i="34" s="1"/>
  <c r="U20" i="34"/>
  <c r="T32" i="34"/>
  <c r="T11" i="34"/>
  <c r="U11" i="34" s="1"/>
  <c r="T10" i="33"/>
  <c r="U10" i="33" s="1"/>
  <c r="T30" i="33"/>
  <c r="T9" i="33"/>
  <c r="U9" i="33" s="1"/>
  <c r="T13" i="33"/>
  <c r="U13" i="33" s="1"/>
  <c r="T12" i="33"/>
  <c r="U12" i="33" s="1"/>
  <c r="U14" i="33"/>
  <c r="T15" i="33"/>
  <c r="U15" i="33" s="1"/>
  <c r="T32" i="33"/>
  <c r="T11" i="33"/>
  <c r="U11" i="33" s="1"/>
  <c r="G28" i="32"/>
  <c r="H28" i="32" s="1"/>
  <c r="G32" i="32"/>
  <c r="H32" i="32" s="1"/>
  <c r="H29" i="32"/>
  <c r="F26" i="9"/>
  <c r="N21" i="7"/>
  <c r="N22" i="7" s="1"/>
  <c r="N23" i="7" s="1"/>
  <c r="N24" i="7" s="1"/>
  <c r="F23" i="6"/>
  <c r="F24" i="6" s="1"/>
  <c r="F24" i="10"/>
  <c r="F26" i="11"/>
  <c r="H31" i="32"/>
  <c r="G24" i="32"/>
  <c r="H24" i="32" s="1"/>
  <c r="F14" i="3"/>
  <c r="F15" i="3" s="1"/>
  <c r="F18" i="3"/>
  <c r="T47" i="34" l="1"/>
  <c r="T37" i="34"/>
  <c r="T43" i="34"/>
  <c r="T31" i="34"/>
  <c r="U31" i="34" s="1"/>
  <c r="U30" i="34"/>
  <c r="T33" i="34"/>
  <c r="U32" i="34"/>
  <c r="U14" i="34"/>
  <c r="T15" i="34"/>
  <c r="U15" i="34" s="1"/>
  <c r="T67" i="33"/>
  <c r="U67" i="33" s="1"/>
  <c r="T67" i="34"/>
  <c r="T36" i="34"/>
  <c r="U36" i="34" s="1"/>
  <c r="T71" i="34"/>
  <c r="T60" i="34"/>
  <c r="U60" i="34" s="1"/>
  <c r="T59" i="34"/>
  <c r="U59" i="34" s="1"/>
  <c r="T36" i="33"/>
  <c r="U36" i="33" s="1"/>
  <c r="T71" i="33"/>
  <c r="T59" i="33"/>
  <c r="U59" i="33" s="1"/>
  <c r="T60" i="33"/>
  <c r="U60" i="33" s="1"/>
  <c r="U30" i="33"/>
  <c r="T31" i="33"/>
  <c r="U31" i="33" s="1"/>
  <c r="T37" i="33"/>
  <c r="T43" i="33"/>
  <c r="T47" i="33"/>
  <c r="U32" i="33"/>
  <c r="T33" i="33"/>
  <c r="G30" i="32"/>
  <c r="H30" i="32" s="1"/>
  <c r="F20" i="3"/>
  <c r="F21" i="3" s="1"/>
  <c r="F22" i="3" s="1"/>
  <c r="F23" i="3" s="1"/>
  <c r="F24" i="3" s="1"/>
  <c r="F25" i="3" s="1"/>
  <c r="T68" i="33" l="1"/>
  <c r="U68" i="33" s="1"/>
  <c r="T68" i="34"/>
  <c r="U68" i="34" s="1"/>
  <c r="U67" i="34"/>
  <c r="T55" i="34"/>
  <c r="T44" i="34"/>
  <c r="U44" i="34" s="1"/>
  <c r="U43" i="34"/>
  <c r="U71" i="33"/>
  <c r="T72" i="33"/>
  <c r="U72" i="33" s="1"/>
  <c r="T72" i="34"/>
  <c r="U72" i="34" s="1"/>
  <c r="U71" i="34"/>
  <c r="U33" i="34"/>
  <c r="T45" i="34"/>
  <c r="T38" i="34"/>
  <c r="U38" i="34" s="1"/>
  <c r="U37" i="34"/>
  <c r="T48" i="34"/>
  <c r="U48" i="34" s="1"/>
  <c r="U47" i="34"/>
  <c r="T48" i="33"/>
  <c r="U48" i="33" s="1"/>
  <c r="U47" i="33"/>
  <c r="T44" i="33"/>
  <c r="U44" i="33" s="1"/>
  <c r="T55" i="33"/>
  <c r="U43" i="33"/>
  <c r="T38" i="33"/>
  <c r="U38" i="33" s="1"/>
  <c r="U37" i="33"/>
  <c r="U33" i="33"/>
  <c r="T45" i="33"/>
  <c r="H23" i="32"/>
  <c r="G22" i="32"/>
  <c r="H22" i="32" s="1"/>
  <c r="F25" i="6"/>
  <c r="T34" i="34" l="1"/>
  <c r="T69" i="34"/>
  <c r="T16" i="34"/>
  <c r="T56" i="34"/>
  <c r="U56" i="34" s="1"/>
  <c r="T63" i="34"/>
  <c r="U55" i="34"/>
  <c r="T57" i="34"/>
  <c r="T46" i="34"/>
  <c r="U46" i="34" s="1"/>
  <c r="U45" i="34"/>
  <c r="T56" i="33"/>
  <c r="U56" i="33" s="1"/>
  <c r="U55" i="33"/>
  <c r="T63" i="33"/>
  <c r="T16" i="33"/>
  <c r="T69" i="33"/>
  <c r="T34" i="33"/>
  <c r="T57" i="33"/>
  <c r="T46" i="33"/>
  <c r="U46" i="33" s="1"/>
  <c r="U45" i="33"/>
  <c r="G25" i="32"/>
  <c r="H25" i="32" s="1"/>
  <c r="G27" i="32"/>
  <c r="H27" i="32" s="1"/>
  <c r="T35" i="34" l="1"/>
  <c r="U35" i="34" s="1"/>
  <c r="U34" i="34"/>
  <c r="U57" i="34"/>
  <c r="T58" i="34"/>
  <c r="U58" i="34" s="1"/>
  <c r="T65" i="34"/>
  <c r="T64" i="34"/>
  <c r="U64" i="34" s="1"/>
  <c r="U63" i="34"/>
  <c r="U16" i="34"/>
  <c r="T17" i="34"/>
  <c r="U17" i="34" s="1"/>
  <c r="T70" i="34"/>
  <c r="U70" i="34" s="1"/>
  <c r="U69" i="34"/>
  <c r="T64" i="33"/>
  <c r="U64" i="33" s="1"/>
  <c r="U63" i="33"/>
  <c r="U69" i="33"/>
  <c r="T70" i="33"/>
  <c r="U70" i="33" s="1"/>
  <c r="U34" i="33"/>
  <c r="T35" i="33"/>
  <c r="U35" i="33" s="1"/>
  <c r="U16" i="33"/>
  <c r="T17" i="33"/>
  <c r="U17" i="33" s="1"/>
  <c r="T58" i="33"/>
  <c r="U58" i="33" s="1"/>
  <c r="T65" i="33"/>
  <c r="U57" i="33"/>
  <c r="T66" i="34" l="1"/>
  <c r="U66" i="34" s="1"/>
  <c r="U65" i="34"/>
  <c r="U73" i="34"/>
  <c r="T66" i="33"/>
  <c r="U66" i="33" s="1"/>
  <c r="U73" i="33" s="1"/>
  <c r="U65" i="33"/>
  <c r="V73" i="34" l="1"/>
  <c r="V76" i="34" s="1"/>
  <c r="W73" i="34"/>
  <c r="W73" i="33"/>
  <c r="V73" i="33"/>
</calcChain>
</file>

<file path=xl/comments1.xml><?xml version="1.0" encoding="utf-8"?>
<comments xmlns="http://schemas.openxmlformats.org/spreadsheetml/2006/main">
  <authors>
    <author>kara</author>
  </authors>
  <commentList>
    <comment ref="F18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NOT ACTUALLY IN REG COMBINE BUT RATHER ARE TWO SEPARATE RATES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NOT ACTUALLY IN REG COMBINE BUT RATHER ARE TWO SEPARATE RATES</t>
        </r>
      </text>
    </comment>
  </commentList>
</comments>
</file>

<file path=xl/comments2.xml><?xml version="1.0" encoding="utf-8"?>
<comments xmlns="http://schemas.openxmlformats.org/spreadsheetml/2006/main">
  <authors>
    <author>kara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1/24/16: 16 - 20 year olds - more medical acuity. Extended stay need more medical staff.  1:4 or 1:6 DC staff needed. Average of 22-23 participants daily
</t>
        </r>
      </text>
    </comment>
  </commentList>
</comments>
</file>

<file path=xl/comments3.xml><?xml version="1.0" encoding="utf-8"?>
<comments xmlns="http://schemas.openxmlformats.org/spreadsheetml/2006/main">
  <authors>
    <author>kara</author>
    <author>Kara Stanford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1/24/16: 16 - 20 year olds - more medical acuity. Extended stay need more medical staff.  1:4 or 1:6 DC staff needed. Average of 22-23 participants daily
</t>
        </r>
      </text>
    </comment>
    <comment ref="F24" authorId="1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BSAS to determine if we can remove this rate from reg and retitle the Outpatient Counseling rate to also say Case Mgmt - MA Lvl and use that rate for both</t>
        </r>
      </text>
    </comment>
  </commentList>
</comments>
</file>

<file path=xl/comments4.xml><?xml version="1.0" encoding="utf-8"?>
<comments xmlns="http://schemas.openxmlformats.org/spreadsheetml/2006/main">
  <authors>
    <author>kara</author>
  </authors>
  <commentList>
    <comment ref="D31" authorId="0">
      <text>
        <r>
          <rPr>
            <b/>
            <sz val="9"/>
            <color indexed="81"/>
            <rFont val="Tahoma"/>
            <charset val="1"/>
          </rPr>
          <t>kara:</t>
        </r>
        <r>
          <rPr>
            <sz val="9"/>
            <color indexed="81"/>
            <rFont val="Tahoma"/>
            <charset val="1"/>
          </rPr>
          <t xml:space="preserve">
updated from 12.58% to C.257 benchmark</t>
        </r>
      </text>
    </comment>
  </commentList>
</comments>
</file>

<file path=xl/sharedStrings.xml><?xml version="1.0" encoding="utf-8"?>
<sst xmlns="http://schemas.openxmlformats.org/spreadsheetml/2006/main" count="1449" uniqueCount="468">
  <si>
    <t>Relief Assumptions:</t>
  </si>
  <si>
    <t>Days</t>
  </si>
  <si>
    <t>Hours</t>
  </si>
  <si>
    <t>vacation</t>
  </si>
  <si>
    <t>sick/ personal</t>
  </si>
  <si>
    <t>holidays</t>
  </si>
  <si>
    <t>training</t>
  </si>
  <si>
    <t>Total Hours per FTE:</t>
  </si>
  <si>
    <t>Program Management</t>
  </si>
  <si>
    <t>Medical - MD</t>
  </si>
  <si>
    <t>Nurse Manager</t>
  </si>
  <si>
    <t>Nursing Non-Master's</t>
  </si>
  <si>
    <t>Support Staffing</t>
  </si>
  <si>
    <t>Benchmark Expenses</t>
  </si>
  <si>
    <t>Tax and Fringe</t>
  </si>
  <si>
    <t>Occupancy</t>
  </si>
  <si>
    <t>Other Expenses</t>
  </si>
  <si>
    <t>Clinical Supervisor (LICSW)</t>
  </si>
  <si>
    <t>Clinician (MA Level)</t>
  </si>
  <si>
    <t>Direct Care (MA Level)</t>
  </si>
  <si>
    <t>Direct Care (Non Masters)</t>
  </si>
  <si>
    <t>Recovery Coach</t>
  </si>
  <si>
    <t>Admin Allocation</t>
  </si>
  <si>
    <t>Travel</t>
  </si>
  <si>
    <t>Methadone Dosing Only</t>
  </si>
  <si>
    <t>Methadone Dosing Expenses</t>
  </si>
  <si>
    <t>Methadone Dosing Occupancy</t>
  </si>
  <si>
    <t>avg of all other  services</t>
  </si>
  <si>
    <t>avg of all  services</t>
  </si>
  <si>
    <t>Methadone Dosing</t>
  </si>
  <si>
    <t>H0020</t>
  </si>
  <si>
    <t>Weekly Dose:</t>
  </si>
  <si>
    <t>Yearly Wks:</t>
  </si>
  <si>
    <t>Salary FTE</t>
  </si>
  <si>
    <t>FTE</t>
  </si>
  <si>
    <t>Expense</t>
  </si>
  <si>
    <t>Total Program Staff</t>
  </si>
  <si>
    <t>Expenses</t>
  </si>
  <si>
    <t>Unit Cost</t>
  </si>
  <si>
    <t>Total Staffing Costs</t>
  </si>
  <si>
    <t>Amount per FTE</t>
  </si>
  <si>
    <t>Total Reimbursable Exp. Excl. Admin.</t>
  </si>
  <si>
    <t>Admin Alloc</t>
  </si>
  <si>
    <t>TOTAL</t>
  </si>
  <si>
    <t>Current Rate:</t>
  </si>
  <si>
    <t>Current Rate</t>
  </si>
  <si>
    <t>Methadone Individual Counseling</t>
  </si>
  <si>
    <t>H0004 - TF</t>
  </si>
  <si>
    <t>Yearly Hrs Per Person:</t>
  </si>
  <si>
    <t>Clinical</t>
  </si>
  <si>
    <t>Direct Care Masters</t>
  </si>
  <si>
    <t>CAF</t>
  </si>
  <si>
    <t>Proposed Rate (15 mins)</t>
  </si>
  <si>
    <t xml:space="preserve">Group Outpatient Counseling </t>
  </si>
  <si>
    <t>H0005-HQ, H0005, H0005-HD</t>
  </si>
  <si>
    <t>H0005-H9</t>
  </si>
  <si>
    <t>Proposed Rate (45 min)</t>
  </si>
  <si>
    <t>Group Counseling Model</t>
  </si>
  <si>
    <t>Group Counseling and Methadone Group Counseling Model</t>
  </si>
  <si>
    <t>H0005</t>
  </si>
  <si>
    <t>Yearly Hrs Per Person</t>
  </si>
  <si>
    <t>Category</t>
  </si>
  <si>
    <t>MassHealthCode</t>
  </si>
  <si>
    <t>Description</t>
  </si>
  <si>
    <t>Rate</t>
  </si>
  <si>
    <t>Outpatient Hourly Rate (incl CAF)</t>
  </si>
  <si>
    <t>Outpatient Counseling</t>
  </si>
  <si>
    <t>90882-HF</t>
  </si>
  <si>
    <t>Case Consultation (30 minutes)</t>
  </si>
  <si>
    <t>H0001</t>
  </si>
  <si>
    <t>Assessment (15 minutes)</t>
  </si>
  <si>
    <t>Billable 90 min Rate Per Person Assuming Group of 5</t>
  </si>
  <si>
    <t>H0004</t>
  </si>
  <si>
    <t>Individual Counseling (15 mintes)</t>
  </si>
  <si>
    <t>Per person rate per 15 min</t>
  </si>
  <si>
    <t>Group Counseling (45 minutes)</t>
  </si>
  <si>
    <t>45 min rate for reg</t>
  </si>
  <si>
    <t>Driver Ed Alcohol</t>
  </si>
  <si>
    <t>H0001-H9</t>
  </si>
  <si>
    <t>Court Ordered Assessment (15 minutes)</t>
  </si>
  <si>
    <t>H0004-H9</t>
  </si>
  <si>
    <t>Court ordered therapy (15 minutes)</t>
  </si>
  <si>
    <t>Pregnant/Postpartum</t>
  </si>
  <si>
    <t>H0004-HD</t>
  </si>
  <si>
    <t>H1005</t>
  </si>
  <si>
    <t>Day Treatment (1 hour)</t>
  </si>
  <si>
    <t>H0005-HD</t>
  </si>
  <si>
    <t xml:space="preserve"> Outpatient Counseling (3385)</t>
  </si>
  <si>
    <t>Family / Couples Counseling</t>
  </si>
  <si>
    <t>T1006-HR, T1006, T1006-HD</t>
  </si>
  <si>
    <t>Proposed rate (30 min)</t>
  </si>
  <si>
    <t>Psycho-Educational Groups</t>
  </si>
  <si>
    <t>H2027</t>
  </si>
  <si>
    <t>Hourly Group of 5 rate</t>
  </si>
  <si>
    <t>Individual Rate</t>
  </si>
  <si>
    <t>15 minutes  rate</t>
  </si>
  <si>
    <t>Day Treatment 3.5 Hours</t>
  </si>
  <si>
    <t>Days Per Year:</t>
  </si>
  <si>
    <t>Days Per Year</t>
  </si>
  <si>
    <t xml:space="preserve">Current Rate </t>
  </si>
  <si>
    <t>Travel (broken out of other prog exp)</t>
  </si>
  <si>
    <t>Day Treatment Prenatal Care Enhancement Service Package</t>
  </si>
  <si>
    <t>Telephone Recovery</t>
  </si>
  <si>
    <t>H2015-HF</t>
  </si>
  <si>
    <t>Proposed Rate (15 min)</t>
  </si>
  <si>
    <t>Rec Coaching</t>
  </si>
  <si>
    <t>H0038-HF</t>
  </si>
  <si>
    <t>Yearly HRs:</t>
  </si>
  <si>
    <t>Other Program Expense</t>
  </si>
  <si>
    <t>Hourly Rate</t>
  </si>
  <si>
    <t xml:space="preserve">Current 15 Minute Rate </t>
  </si>
  <si>
    <t>InHome Therapy</t>
  </si>
  <si>
    <t>H2019-HF</t>
  </si>
  <si>
    <t>Current 15 minute Rate</t>
  </si>
  <si>
    <t>Clinical Case Management - Master's Level</t>
  </si>
  <si>
    <t>Clinical Case Management - Non Master's Level</t>
  </si>
  <si>
    <t>H0006-HO</t>
  </si>
  <si>
    <t>H0006-HN, H0006-HD</t>
  </si>
  <si>
    <t xml:space="preserve"> </t>
  </si>
  <si>
    <t>15 minute rate</t>
  </si>
  <si>
    <t xml:space="preserve"> 1.5 Hour Rate (includes 30 min prep time)</t>
  </si>
  <si>
    <t>% of FTE</t>
  </si>
  <si>
    <t>Court ordered group counseling (15 minutes)</t>
  </si>
  <si>
    <t>H1005-HQ, H2012-HF</t>
  </si>
  <si>
    <t>H0005-H9, H0005, H0005-HQ, H0005-HD, 90882-HF</t>
  </si>
  <si>
    <t>Massachusetts Economic Indicators</t>
  </si>
  <si>
    <t>IHS Markit Economics Spring 2018 Forecast</t>
  </si>
  <si>
    <t>Prepared by Michael Lynch, 781-301-9129</t>
  </si>
  <si>
    <t>FY16</t>
  </si>
  <si>
    <t>FY17</t>
  </si>
  <si>
    <t>FY18</t>
  </si>
  <si>
    <t>FY19</t>
  </si>
  <si>
    <t>FY20</t>
  </si>
  <si>
    <t>FY21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</si>
  <si>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</si>
  <si>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</si>
  <si>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</si>
  <si>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</si>
  <si>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</si>
  <si>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</si>
  <si>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</si>
  <si>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</si>
  <si>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</si>
  <si>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</si>
  <si>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</si>
  <si>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</si>
  <si>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</si>
  <si>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</si>
  <si>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</si>
  <si>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</si>
  <si>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</si>
  <si>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</si>
  <si>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</si>
  <si>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</si>
  <si>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</si>
  <si>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</si>
  <si>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</si>
  <si>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</si>
  <si>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</si>
  <si>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</si>
  <si>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</si>
  <si>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</si>
  <si>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</si>
  <si>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</si>
  <si>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</si>
  <si>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</si>
  <si>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</si>
  <si>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</si>
  <si>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</si>
  <si>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</si>
  <si>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</si>
  <si>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</si>
  <si>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</si>
  <si>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</si>
  <si>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</si>
  <si>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</si>
  <si>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</si>
  <si>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</si>
  <si>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</si>
  <si>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</si>
  <si>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</si>
  <si>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</si>
  <si>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</si>
  <si>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</si>
  <si>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</si>
  <si>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</si>
  <si>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</si>
  <si>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</si>
  <si>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</si>
  <si>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</si>
  <si>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</si>
  <si>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</si>
  <si>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</si>
  <si>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</si>
  <si>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</si>
  <si>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</si>
  <si>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</si>
  <si>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</si>
  <si>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</si>
  <si>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</si>
  <si>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</si>
  <si>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</si>
  <si>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</si>
  <si>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</si>
  <si>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</si>
  <si>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</si>
  <si>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</si>
  <si>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</si>
  <si>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</si>
  <si>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</si>
  <si>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</si>
  <si>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</si>
  <si>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</si>
  <si>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</si>
  <si>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</si>
  <si>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 xml:space="preserve">Base period: </t>
  </si>
  <si>
    <t>Average</t>
  </si>
  <si>
    <t xml:space="preserve">Prospective rate period: </t>
  </si>
  <si>
    <t>CAF:</t>
  </si>
  <si>
    <t>Assumption for Rate Reviews that are to be promulgated January 1, 2019</t>
  </si>
  <si>
    <t>1/1/19 - 12/31/20</t>
  </si>
  <si>
    <t>FY19Q2</t>
  </si>
  <si>
    <t xml:space="preserve">   Base: FY19Q2        Prospective Period: 1/1/19 - 12/31/20</t>
  </si>
  <si>
    <t>Comments</t>
  </si>
  <si>
    <t>Purchasing Dept Recommendation</t>
  </si>
  <si>
    <t>Methadone Dosing Only (SRAD Rebased with applicable CAF)</t>
  </si>
  <si>
    <r>
      <t>Benchmark Salaries</t>
    </r>
    <r>
      <rPr>
        <b/>
        <sz val="9"/>
        <color indexed="10"/>
        <rFont val="Calibri"/>
        <family val="2"/>
        <scheme val="minor"/>
      </rPr>
      <t xml:space="preserve"> </t>
    </r>
  </si>
  <si>
    <t>Master Look-up Table</t>
  </si>
  <si>
    <t xml:space="preserve">Rate Review </t>
  </si>
  <si>
    <t>CAF rate review FY20</t>
  </si>
  <si>
    <t xml:space="preserve">SRAD rebased with applicable CAF(s) </t>
  </si>
  <si>
    <t>H0005, H0005-H9</t>
  </si>
  <si>
    <t>BLS MA</t>
  </si>
  <si>
    <t>Position</t>
  </si>
  <si>
    <t>Avg</t>
  </si>
  <si>
    <t>Minimum Education and/or certification</t>
  </si>
  <si>
    <t>C.257 Average</t>
  </si>
  <si>
    <t>Hourly Difference b/w Avg &amp; C.257</t>
  </si>
  <si>
    <t>Direct Care, Direct Care Blend, Non Specialized DC, Peer mentor, Family Specialist</t>
  </si>
  <si>
    <t>High School diploma / GED / State Training</t>
  </si>
  <si>
    <t>Direct Care III (hourly)</t>
  </si>
  <si>
    <t>Direct Care Supervisor, Direct Care Bachelors</t>
  </si>
  <si>
    <t>Bachelors Level or 5+ years related experience</t>
  </si>
  <si>
    <t>Certified Nursing Assistant  (hourly)</t>
  </si>
  <si>
    <t>Completed a state-approved education program and must pass their state’s competency exam. 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</si>
  <si>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</si>
  <si>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</si>
  <si>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</si>
  <si>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</si>
  <si>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N/A</t>
  </si>
  <si>
    <t>Case / Social Worker (annual)</t>
  </si>
  <si>
    <t>Case Manager / Social Worker / Clinical w/o independent License (hourly)</t>
  </si>
  <si>
    <t>LDAC1,  LMSW, LCSW, CADAC</t>
  </si>
  <si>
    <t>Masters Level</t>
  </si>
  <si>
    <t>Case Manager / Social Worker / Clinical w/o independent License</t>
  </si>
  <si>
    <t>Clinical without Independent Licensure</t>
  </si>
  <si>
    <t>Clinical w/ Independent licensure (hourly)</t>
  </si>
  <si>
    <t>LPHA, LICSW, LMHC, LBHA, BCBA</t>
  </si>
  <si>
    <t xml:space="preserve">Masters with Licensure in Related Discipline </t>
  </si>
  <si>
    <t>Clinical w/ Independent licensure (annual)</t>
  </si>
  <si>
    <t>Clinical Manager (hourly)</t>
  </si>
  <si>
    <t>Clinical Manager, Clinical Director, Supervising Professional</t>
  </si>
  <si>
    <t>Masters with Licensure in Related Discipline and supervising/managerial related experience</t>
  </si>
  <si>
    <t>Clinical Manager (annual)</t>
  </si>
  <si>
    <t>LPN (hourly)</t>
  </si>
  <si>
    <t>Complete a state approved nurse education program for licensed practical or licensed vocation nurse</t>
  </si>
  <si>
    <t>LPN (annual)</t>
  </si>
  <si>
    <t>Registerd Nurse (BA) (hourly)</t>
  </si>
  <si>
    <t>Minimum of an associates degree in nursing, a diploma from an approved nursing program, or a Bachelors of Science in Nursing</t>
  </si>
  <si>
    <t>Registered Nurse (BA) (annual)</t>
  </si>
  <si>
    <t>Registerd Nurse (MA / APRN) (hourly)</t>
  </si>
  <si>
    <t>Minimum of a Masters of Science in one of the APRN roles. Must be licensed</t>
  </si>
  <si>
    <t>Registered Nurse (MA / APRN) (annual)</t>
  </si>
  <si>
    <t>Support and Relief Staff are Benchmarked to Direct Care I &amp; II</t>
  </si>
  <si>
    <t xml:space="preserve">Overnight staff (asleep or awake) bench to $14.25 / hr </t>
  </si>
  <si>
    <t xml:space="preserve">Tax and Fringe  =  </t>
  </si>
  <si>
    <t>CAF =</t>
  </si>
  <si>
    <t>PFMLA =</t>
  </si>
  <si>
    <t>FY22</t>
  </si>
  <si>
    <t>FY23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</si>
  <si>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</si>
  <si>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</si>
  <si>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</si>
  <si>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</si>
  <si>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</si>
  <si>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</si>
  <si>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</si>
  <si>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</si>
  <si>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</si>
  <si>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</si>
  <si>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</si>
  <si>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</si>
  <si>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CAF rate review FY22</t>
  </si>
  <si>
    <t>BLS /OES Massachusetts Median 2018</t>
  </si>
  <si>
    <t>C.257 Benchmark FY21 &amp; FY22</t>
  </si>
  <si>
    <t>PFMLA</t>
  </si>
  <si>
    <t>CAF  Period  (1/1/21- 12/31/22)</t>
  </si>
  <si>
    <t xml:space="preserve">   Base: FY21Q2        Prospective Period: 1/1/20 - 12/31/22</t>
  </si>
  <si>
    <t>effective 10/2019</t>
  </si>
  <si>
    <t>current rate</t>
  </si>
  <si>
    <t>IHS Markit, Spring 2020 Forecast</t>
  </si>
  <si>
    <t>Assumption for Rate Reviews that are to be promulgated  October 1, 2020</t>
  </si>
  <si>
    <t>Assumption for Rate Reviews that are to be promulgated  January 1, 2020</t>
  </si>
  <si>
    <t>FY21Q2</t>
  </si>
  <si>
    <t>1/1/20- 12/31/22</t>
  </si>
  <si>
    <t>Benchmarked to COE/RRS</t>
  </si>
  <si>
    <t>QUESTIONS FOR KARA :</t>
  </si>
  <si>
    <t>Changed sick Personal from 8 to 10 but not sure how to incorporate it in models.  I couldn't come up with the curent numbers</t>
  </si>
  <si>
    <t>Is there a FI? I couldn’t find one</t>
  </si>
  <si>
    <r>
      <t>Benchmark Salaries</t>
    </r>
    <r>
      <rPr>
        <b/>
        <sz val="9"/>
        <color indexed="10"/>
        <rFont val="Calibri"/>
        <family val="2"/>
        <scheme val="minor"/>
      </rPr>
      <t xml:space="preserve"> BLS/OES</t>
    </r>
  </si>
  <si>
    <t>DIFFERENCE</t>
  </si>
  <si>
    <r>
      <t>Benchmark Salaries</t>
    </r>
    <r>
      <rPr>
        <b/>
        <sz val="9"/>
        <color indexed="10"/>
        <rFont val="Calibri"/>
        <family val="2"/>
        <scheme val="minor"/>
      </rPr>
      <t xml:space="preserve"> CURRENT</t>
    </r>
  </si>
  <si>
    <t>Per email 6/8/20 Meth dosing / meth counseling mag be pointed to 101 CMR 444- Do I dleete fro here or add in the CMR 444 to this workbook</t>
  </si>
  <si>
    <t>most of negative change is from DC 52K going down to 41K</t>
  </si>
  <si>
    <t>I benchmarked Program Mgr to COE/RRS  which brought it up a little but still significant decrease, but if we bring FTE up by 0.1 it helps</t>
  </si>
  <si>
    <t>On the 2020 updates  box on each model I need to take out the (Not on Salaries) but that is a note for myself rn.</t>
  </si>
  <si>
    <t>Direct Care III</t>
  </si>
  <si>
    <t>In Home Therapy</t>
  </si>
  <si>
    <t>Recovery Coaching</t>
  </si>
  <si>
    <t>Ambulatory</t>
  </si>
  <si>
    <t>H0019-HV</t>
  </si>
  <si>
    <t>Latinas y Ninos child rate</t>
  </si>
  <si>
    <t>COMBINE H2034 &amp;H0019-TH</t>
  </si>
  <si>
    <t>Latinas y Ninos postpartum rate</t>
  </si>
  <si>
    <t>COMBINE H2034 &amp;H0019-HD</t>
  </si>
  <si>
    <t>Latinas y Ninos pregnancy rate</t>
  </si>
  <si>
    <t>H2034</t>
  </si>
  <si>
    <t>4951</t>
  </si>
  <si>
    <t>Latinas y Ninos base rate</t>
  </si>
  <si>
    <t>H0018-H9</t>
  </si>
  <si>
    <t>3401</t>
  </si>
  <si>
    <t>Second Offender (DUIL)*</t>
  </si>
  <si>
    <t>H0006-H9</t>
  </si>
  <si>
    <t>Jail Diversion Phase 2</t>
  </si>
  <si>
    <t>H0019-H9</t>
  </si>
  <si>
    <t>4958</t>
  </si>
  <si>
    <t>Jail Diversion Phase 1</t>
  </si>
  <si>
    <t>H0019-HR</t>
  </si>
  <si>
    <t>4919</t>
  </si>
  <si>
    <t>Family Sober Living</t>
  </si>
  <si>
    <t>H0019-HF</t>
  </si>
  <si>
    <t>Family Residential, 16 Families*</t>
  </si>
  <si>
    <t>Family Residential, 15 Families*</t>
  </si>
  <si>
    <t>Family Residential, 14 Families*</t>
  </si>
  <si>
    <t>Family Residential, 13 Families*</t>
  </si>
  <si>
    <t>Family Residential, 12 Families*</t>
  </si>
  <si>
    <t>H0047-HR</t>
  </si>
  <si>
    <t>2-Parent Add-On</t>
  </si>
  <si>
    <t>Family Residential, 11 Families*</t>
  </si>
  <si>
    <t>H0019-TH</t>
  </si>
  <si>
    <t>Postpartum Enhancement</t>
  </si>
  <si>
    <t>H0019-HD</t>
  </si>
  <si>
    <t>Pregnant Enhancement</t>
  </si>
  <si>
    <t>Adult Residential Rehabilitation*</t>
  </si>
  <si>
    <t>Residential</t>
  </si>
  <si>
    <t>Current  Rate</t>
  </si>
  <si>
    <t>Regulation Code</t>
  </si>
  <si>
    <t>Actvity Code</t>
  </si>
  <si>
    <t>3385</t>
  </si>
  <si>
    <t>2301</t>
  </si>
  <si>
    <t>Family/Couple Counseling</t>
  </si>
  <si>
    <t>Psycho.Educational Groups</t>
  </si>
  <si>
    <r>
      <rPr>
        <b/>
        <sz val="11"/>
        <rFont val="Calibri"/>
        <family val="2"/>
        <scheme val="minor"/>
      </rPr>
      <t>Methadone Counseling</t>
    </r>
    <r>
      <rPr>
        <sz val="11"/>
        <rFont val="Calibri"/>
        <family val="2"/>
        <scheme val="minor"/>
      </rPr>
      <t>-- Outpatient Counselin</t>
    </r>
  </si>
  <si>
    <r>
      <rPr>
        <b/>
        <sz val="11"/>
        <rFont val="Calibri"/>
        <family val="2"/>
        <scheme val="minor"/>
      </rPr>
      <t>Methadone Counseling</t>
    </r>
    <r>
      <rPr>
        <sz val="11"/>
        <rFont val="Calibri"/>
        <family val="2"/>
        <scheme val="minor"/>
      </rPr>
      <t>- Individual Counseling</t>
    </r>
  </si>
  <si>
    <r>
      <rPr>
        <b/>
        <sz val="11"/>
        <color indexed="8"/>
        <rFont val="Calibri"/>
        <family val="2"/>
      </rPr>
      <t xml:space="preserve">Day Treatment </t>
    </r>
    <r>
      <rPr>
        <sz val="11"/>
        <color indexed="8"/>
        <rFont val="Calibri"/>
        <family val="2"/>
      </rPr>
      <t>(3.5 Hours)</t>
    </r>
  </si>
  <si>
    <r>
      <rPr>
        <b/>
        <sz val="11"/>
        <color indexed="8"/>
        <rFont val="Calibri"/>
        <family val="2"/>
      </rPr>
      <t xml:space="preserve">Day Treatment </t>
    </r>
    <r>
      <rPr>
        <sz val="11"/>
        <color indexed="8"/>
        <rFont val="Calibri"/>
        <family val="2"/>
      </rPr>
      <t>(Prenatal Care)</t>
    </r>
  </si>
  <si>
    <r>
      <rPr>
        <b/>
        <sz val="11"/>
        <color indexed="8"/>
        <rFont val="Calibri"/>
        <family val="2"/>
      </rPr>
      <t>Clinical Case Management</t>
    </r>
    <r>
      <rPr>
        <sz val="11"/>
        <color indexed="8"/>
        <rFont val="Calibri"/>
        <family val="2"/>
      </rPr>
      <t xml:space="preserve"> -Master's Level </t>
    </r>
  </si>
  <si>
    <r>
      <rPr>
        <b/>
        <sz val="11"/>
        <color indexed="8"/>
        <rFont val="Calibri"/>
        <family val="2"/>
      </rPr>
      <t>Clinical Case Management</t>
    </r>
    <r>
      <rPr>
        <sz val="11"/>
        <color indexed="8"/>
        <rFont val="Calibri"/>
        <family val="2"/>
      </rPr>
      <t xml:space="preserve"> -Non-Master's Level </t>
    </r>
  </si>
  <si>
    <r>
      <rPr>
        <b/>
        <sz val="11"/>
        <color theme="1"/>
        <rFont val="Calibri"/>
        <family val="2"/>
        <scheme val="minor"/>
      </rPr>
      <t>~OP Counseling</t>
    </r>
    <r>
      <rPr>
        <sz val="11"/>
        <color theme="1"/>
        <rFont val="Calibri"/>
        <family val="2"/>
        <scheme val="minor"/>
      </rPr>
      <t>- Case Consultation (30 min)</t>
    </r>
  </si>
  <si>
    <r>
      <rPr>
        <b/>
        <sz val="10"/>
        <rFont val="Arial"/>
        <family val="2"/>
      </rPr>
      <t>~OP Counseling</t>
    </r>
    <r>
      <rPr>
        <sz val="10"/>
        <rFont val="Arial"/>
        <family val="2"/>
      </rPr>
      <t xml:space="preserve"> - Assessment (15 min)</t>
    </r>
  </si>
  <si>
    <r>
      <rPr>
        <b/>
        <sz val="10"/>
        <rFont val="Arial"/>
        <family val="2"/>
      </rPr>
      <t>~OP Counseling</t>
    </r>
    <r>
      <rPr>
        <sz val="10"/>
        <rFont val="Arial"/>
        <family val="2"/>
      </rPr>
      <t>- Individual Counseling (15 min)</t>
    </r>
  </si>
  <si>
    <r>
      <rPr>
        <b/>
        <sz val="10"/>
        <rFont val="Arial"/>
        <family val="2"/>
      </rPr>
      <t>~OP Counseling/Driver Ed Alcohol-</t>
    </r>
    <r>
      <rPr>
        <sz val="10"/>
        <rFont val="Arial"/>
        <family val="2"/>
      </rPr>
      <t>Court Ordered Assessment (15 minutes)</t>
    </r>
  </si>
  <si>
    <r>
      <rPr>
        <b/>
        <sz val="10"/>
        <rFont val="Arial"/>
        <family val="2"/>
      </rPr>
      <t>~OP Counseling/Driver Ed Alcohol-</t>
    </r>
    <r>
      <rPr>
        <sz val="10"/>
        <rFont val="Arial"/>
        <family val="2"/>
      </rPr>
      <t xml:space="preserve"> Court ordered therapy (15 minutes)</t>
    </r>
  </si>
  <si>
    <r>
      <rPr>
        <b/>
        <sz val="10"/>
        <rFont val="Arial"/>
        <family val="2"/>
      </rPr>
      <t>~OP Counseling/Driver Ed Alcohol-</t>
    </r>
    <r>
      <rPr>
        <sz val="10"/>
        <rFont val="Arial"/>
        <family val="2"/>
      </rPr>
      <t xml:space="preserve"> Court ordered group counseling (15 minutes)</t>
    </r>
  </si>
  <si>
    <r>
      <rPr>
        <b/>
        <sz val="10"/>
        <rFont val="Arial"/>
        <family val="2"/>
      </rPr>
      <t>~OP Counseling/Pregnant/Postpartum</t>
    </r>
    <r>
      <rPr>
        <sz val="10"/>
        <rFont val="Arial"/>
        <family val="2"/>
      </rPr>
      <t xml:space="preserve"> - Indiv Counseling(15 minutes)</t>
    </r>
  </si>
  <si>
    <r>
      <rPr>
        <b/>
        <sz val="10"/>
        <rFont val="Arial"/>
        <family val="2"/>
      </rPr>
      <t>~OP Counseling/Pregnant/Postpartum</t>
    </r>
    <r>
      <rPr>
        <sz val="10"/>
        <rFont val="Arial"/>
        <family val="2"/>
      </rPr>
      <t xml:space="preserve"> - Day Treatment (1 hour)</t>
    </r>
  </si>
  <si>
    <r>
      <rPr>
        <b/>
        <sz val="10"/>
        <rFont val="Arial"/>
        <family val="2"/>
      </rPr>
      <t>~OP Counseling/Pregnant/Postpartum</t>
    </r>
    <r>
      <rPr>
        <sz val="10"/>
        <rFont val="Arial"/>
        <family val="2"/>
      </rPr>
      <t xml:space="preserve"> - Group Counseling (45 minutes)</t>
    </r>
  </si>
  <si>
    <t>~OP Counseling- Group Counseling (15 min)</t>
  </si>
  <si>
    <t>~OP Counseling- Group Counseling (45 min)</t>
  </si>
  <si>
    <t>% Chasnge</t>
  </si>
  <si>
    <t>Proposed FY21 rate</t>
  </si>
  <si>
    <t>Program/Service</t>
  </si>
  <si>
    <t>1/1/21 - 12/31/22</t>
  </si>
  <si>
    <t>Clinical  (LICSW)</t>
  </si>
  <si>
    <t>C.257 Benchmark</t>
  </si>
  <si>
    <t>Ambulatory Services Utilization - BSAS - FY2019</t>
  </si>
  <si>
    <t>By Dollars Paid</t>
  </si>
  <si>
    <t>Activity Code</t>
  </si>
  <si>
    <t>Service Code</t>
  </si>
  <si>
    <t>Activity Name</t>
  </si>
  <si>
    <t>Service</t>
  </si>
  <si>
    <r>
      <rPr>
        <b/>
        <sz val="10"/>
        <color indexed="8"/>
        <rFont val="Calibri"/>
        <family val="2"/>
      </rPr>
      <t>Rate $ Amount</t>
    </r>
  </si>
  <si>
    <t>Jul 19</t>
  </si>
  <si>
    <t>Aug 19</t>
  </si>
  <si>
    <t>Sep 19</t>
  </si>
  <si>
    <t>Oct 19</t>
  </si>
  <si>
    <t>Nov 19</t>
  </si>
  <si>
    <t>Dec 19</t>
  </si>
  <si>
    <t>Jan 19</t>
  </si>
  <si>
    <t>Feb 19</t>
  </si>
  <si>
    <t>Mar 19</t>
  </si>
  <si>
    <t>Apr 19</t>
  </si>
  <si>
    <t>May 19</t>
  </si>
  <si>
    <t>Jun 19</t>
  </si>
  <si>
    <t>Total Dollars Paid</t>
  </si>
  <si>
    <t>Total Units Paid</t>
  </si>
  <si>
    <t>23001</t>
  </si>
  <si>
    <t>BSAS Recovery Support Outpatient Services</t>
  </si>
  <si>
    <t xml:space="preserve">Assessment </t>
  </si>
  <si>
    <t>H0006 - HN</t>
  </si>
  <si>
    <t>Case Mgmt-Non-Masters</t>
  </si>
  <si>
    <t>H0006 - HO</t>
  </si>
  <si>
    <t>Case Mgmt-Masters</t>
  </si>
  <si>
    <t>H0038 - HF</t>
  </si>
  <si>
    <t>H2015 - HF</t>
  </si>
  <si>
    <t>Psych-Ed Group</t>
  </si>
  <si>
    <t>29000</t>
  </si>
  <si>
    <t>BSAS Day Treatment</t>
  </si>
  <si>
    <t>H0015 - HF</t>
  </si>
  <si>
    <t>Day Treatment</t>
  </si>
  <si>
    <t>31000</t>
  </si>
  <si>
    <t>90882 - HF</t>
  </si>
  <si>
    <t>BSAS Clinical Outpatient Services</t>
  </si>
  <si>
    <t>Case Consultation</t>
  </si>
  <si>
    <t>Assessment</t>
  </si>
  <si>
    <t xml:space="preserve">Individual </t>
  </si>
  <si>
    <t>Group</t>
  </si>
  <si>
    <t>T1006</t>
  </si>
  <si>
    <t>Family</t>
  </si>
  <si>
    <t>35000</t>
  </si>
  <si>
    <t>BSAS Case Management/Sec 35 CSP</t>
  </si>
  <si>
    <t>38000</t>
  </si>
  <si>
    <t>BSAS Acupuncture Detoxification</t>
  </si>
  <si>
    <t>49580</t>
  </si>
  <si>
    <t>BSAS CJ Diversion</t>
  </si>
  <si>
    <t>52000</t>
  </si>
  <si>
    <t>BSAS Second Offender Aftercare Treatment Services</t>
  </si>
  <si>
    <t>H0004 - H9</t>
  </si>
  <si>
    <t>H0005 - H9</t>
  </si>
  <si>
    <t>49351</t>
  </si>
  <si>
    <t>BSAS A-CRA &amp; Intervention</t>
  </si>
  <si>
    <t>Case Consultation (Inter-agency)</t>
  </si>
  <si>
    <t>H2019 - HF</t>
  </si>
  <si>
    <t>In-Home Therapy</t>
  </si>
  <si>
    <t>49352</t>
  </si>
  <si>
    <t>BSAS Family Intervention - Family Support</t>
  </si>
  <si>
    <t>Client-Centered Psych-Ed Group</t>
  </si>
  <si>
    <t>Family Therapy</t>
  </si>
  <si>
    <t>Proj Spend</t>
  </si>
  <si>
    <t>Direct Care  (hourly)</t>
  </si>
  <si>
    <t>Direct Care</t>
  </si>
  <si>
    <t>Total 2019 Units Paid</t>
  </si>
  <si>
    <t>FY20 RATE</t>
  </si>
  <si>
    <t>Annualized</t>
  </si>
  <si>
    <t>Jan 1, 2021 Implementation</t>
  </si>
  <si>
    <t>Nursing Staff</t>
  </si>
  <si>
    <t>Supervisor / Clinician (M Level)</t>
  </si>
  <si>
    <t>H2016-HM</t>
  </si>
  <si>
    <t>Paid Family &amp; Medical Leave</t>
  </si>
  <si>
    <t>TOTAL (with CAF)</t>
  </si>
  <si>
    <t>Daily Case Rate</t>
  </si>
  <si>
    <t>Clinican (MA Level)</t>
  </si>
  <si>
    <t>Comprehensive community support services Rec Coaching</t>
  </si>
  <si>
    <t>Case Load</t>
  </si>
  <si>
    <t>Recovery specialist</t>
  </si>
  <si>
    <t>50th Percentile MA BLS</t>
  </si>
  <si>
    <t xml:space="preserve"> Rate:</t>
  </si>
  <si>
    <t>Hourly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</si>
</sst>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"/>
    <numFmt numFmtId="165" formatCode="_(* #,##0_);_(* \(#,##0\);_(* &quot;-&quot;??_);_(@_)"/>
    <numFmt numFmtId="166" formatCode="0.0"/>
    <numFmt numFmtId="167" formatCode="&quot;$&quot;#,##0.00"/>
    <numFmt numFmtId="168" formatCode="_(&quot;$&quot;* #,##0_);_(&quot;$&quot;* \(#,##0\);_(&quot;$&quot;* &quot;-&quot;??_);_(@_)"/>
    <numFmt numFmtId="169" formatCode="&quot;$&quot;#,##0"/>
    <numFmt numFmtId="170" formatCode="0.0%"/>
    <numFmt numFmtId="171" formatCode="_(&quot;$&quot;* #,##0.00_);_(&quot;$&quot;* \(#,##0.00\);_(&quot;$&quot;* &quot;-&quot;_);_(@_)"/>
    <numFmt numFmtId="172" formatCode="_(&quot;$&quot;* #,##0.0000_);_(&quot;$&quot;* \(#,##0.0000\);_(&quot;$&quot;* &quot;-&quot;??_);_(@_)"/>
    <numFmt numFmtId="173" formatCode="0.000"/>
    <numFmt numFmtId="174" formatCode="[$-409]mmmm\ d\,\ yyyy;@"/>
    <numFmt numFmtId="175" formatCode="0.0000"/>
    <numFmt numFmtId="176" formatCode="_(&quot;$&quot;* #,##0.000_);_(&quot;$&quot;* \(#,##0.000\);_(&quot;$&quot;* &quot;-&quot;_);_(@_)"/>
    <numFmt numFmtId="177" formatCode="_(&quot;$&quot;* #,##0.0000_);_(&quot;$&quot;* \(#,##0.0000\);_(&quot;$&quot;* &quot;-&quot;_);_(@_)"/>
    <numFmt numFmtId="178" formatCode="&quot;$&quot;#,##0.0000_);[Red]\(&quot;$&quot;#,##0.0000\)"/>
    <numFmt numFmtId="179" formatCode="_(&quot;$&quot;* #,##0.000_);_(&quot;$&quot;* \(#,##0.000\);_(&quot;$&quot;* &quot;-&quot;??_);_(@_)"/>
    <numFmt numFmtId="180" formatCode="#.00###"/>
  </numFmts>
  <fonts count="10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rgb="FF0070C0"/>
      <name val="Arial"/>
      <family val="2"/>
    </font>
    <font>
      <b/>
      <sz val="11"/>
      <name val="Arial"/>
      <family val="2"/>
    </font>
    <font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indexed="30"/>
      <name val="Arial"/>
      <family val="2"/>
    </font>
    <font>
      <sz val="10"/>
      <color indexed="17"/>
      <name val="Arial"/>
      <family val="2"/>
    </font>
    <font>
      <b/>
      <i/>
      <u/>
      <sz val="10"/>
      <color rgb="FF0070C0"/>
      <name val="Arial"/>
      <family val="2"/>
    </font>
    <font>
      <i/>
      <sz val="10"/>
      <color rgb="FF0070C0"/>
      <name val="Arial"/>
      <family val="2"/>
    </font>
    <font>
      <sz val="10"/>
      <color rgb="FF00B050"/>
      <name val="Arial"/>
      <family val="2"/>
    </font>
    <font>
      <i/>
      <sz val="10"/>
      <color theme="1"/>
      <name val="Arial"/>
      <family val="2"/>
    </font>
    <font>
      <b/>
      <sz val="10"/>
      <color rgb="FFC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</font>
    <font>
      <sz val="9"/>
      <color indexed="8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9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  <charset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2"/>
      <color indexed="3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color indexed="8"/>
      <name val="Arial"/>
      <family val="2"/>
    </font>
    <font>
      <b/>
      <sz val="11"/>
      <color rgb="FFC00000"/>
      <name val="Arial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</font>
    <font>
      <b/>
      <u/>
      <sz val="12"/>
      <name val="Arial"/>
      <family val="2"/>
    </font>
    <font>
      <b/>
      <sz val="10"/>
      <color indexed="8"/>
      <name val="Calibri"/>
      <family val="2"/>
    </font>
    <font>
      <i/>
      <sz val="10"/>
      <name val="Arial"/>
      <family val="2"/>
    </font>
    <font>
      <b/>
      <i/>
      <u/>
      <sz val="1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EE8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ashed">
        <color rgb="FFBFBFB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3099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0" fillId="0" borderId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10" fillId="0" borderId="0"/>
    <xf numFmtId="0" fontId="3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63" fillId="25" borderId="0" applyNumberFormat="0" applyBorder="0" applyAlignment="0" applyProtection="0"/>
    <xf numFmtId="0" fontId="63" fillId="22" borderId="0" applyNumberFormat="0" applyBorder="0" applyAlignment="0" applyProtection="0"/>
    <xf numFmtId="0" fontId="63" fillId="23" borderId="0" applyNumberFormat="0" applyBorder="0" applyAlignment="0" applyProtection="0"/>
    <xf numFmtId="0" fontId="63" fillId="26" borderId="0" applyNumberFormat="0" applyBorder="0" applyAlignment="0" applyProtection="0"/>
    <xf numFmtId="0" fontId="63" fillId="27" borderId="0" applyNumberFormat="0" applyBorder="0" applyAlignment="0" applyProtection="0"/>
    <xf numFmtId="0" fontId="63" fillId="28" borderId="0" applyNumberFormat="0" applyBorder="0" applyAlignment="0" applyProtection="0"/>
    <xf numFmtId="0" fontId="63" fillId="29" borderId="0" applyNumberFormat="0" applyBorder="0" applyAlignment="0" applyProtection="0"/>
    <xf numFmtId="0" fontId="63" fillId="30" borderId="0" applyNumberFormat="0" applyBorder="0" applyAlignment="0" applyProtection="0"/>
    <xf numFmtId="0" fontId="63" fillId="31" borderId="0" applyNumberFormat="0" applyBorder="0" applyAlignment="0" applyProtection="0"/>
    <xf numFmtId="0" fontId="63" fillId="26" borderId="0" applyNumberFormat="0" applyBorder="0" applyAlignment="0" applyProtection="0"/>
    <xf numFmtId="0" fontId="63" fillId="27" borderId="0" applyNumberFormat="0" applyBorder="0" applyAlignment="0" applyProtection="0"/>
    <xf numFmtId="0" fontId="63" fillId="32" borderId="0" applyNumberFormat="0" applyBorder="0" applyAlignment="0" applyProtection="0"/>
    <xf numFmtId="0" fontId="64" fillId="16" borderId="0" applyNumberFormat="0" applyBorder="0" applyAlignment="0" applyProtection="0"/>
    <xf numFmtId="0" fontId="65" fillId="14" borderId="0" applyNumberFormat="0" applyBorder="0" applyAlignment="0" applyProtection="0"/>
    <xf numFmtId="0" fontId="66" fillId="0" borderId="54" applyNumberFormat="0" applyFont="0" applyProtection="0">
      <alignment wrapText="1"/>
    </xf>
    <xf numFmtId="0" fontId="67" fillId="33" borderId="55" applyNumberFormat="0" applyAlignment="0" applyProtection="0"/>
    <xf numFmtId="0" fontId="67" fillId="33" borderId="55" applyNumberFormat="0" applyAlignment="0" applyProtection="0"/>
    <xf numFmtId="0" fontId="67" fillId="33" borderId="55" applyNumberFormat="0" applyAlignment="0" applyProtection="0"/>
    <xf numFmtId="0" fontId="68" fillId="34" borderId="56" applyNumberFormat="0" applyAlignment="0" applyProtection="0"/>
    <xf numFmtId="4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57" applyNumberFormat="0" applyProtection="0">
      <alignment wrapText="1"/>
    </xf>
    <xf numFmtId="0" fontId="70" fillId="17" borderId="0" applyNumberFormat="0" applyBorder="0" applyAlignment="0" applyProtection="0"/>
    <xf numFmtId="0" fontId="71" fillId="0" borderId="58" applyNumberFormat="0" applyProtection="0">
      <alignment wrapText="1"/>
    </xf>
    <xf numFmtId="0" fontId="72" fillId="0" borderId="59" applyNumberFormat="0" applyFill="0" applyAlignment="0" applyProtection="0"/>
    <xf numFmtId="0" fontId="56" fillId="0" borderId="45" applyNumberFormat="0" applyFill="0" applyAlignment="0" applyProtection="0"/>
    <xf numFmtId="0" fontId="72" fillId="0" borderId="59" applyNumberFormat="0" applyFill="0" applyAlignment="0" applyProtection="0"/>
    <xf numFmtId="0" fontId="73" fillId="0" borderId="60" applyNumberFormat="0" applyFill="0" applyAlignment="0" applyProtection="0"/>
    <xf numFmtId="0" fontId="57" fillId="0" borderId="46" applyNumberFormat="0" applyFill="0" applyAlignment="0" applyProtection="0"/>
    <xf numFmtId="0" fontId="73" fillId="0" borderId="60" applyNumberFormat="0" applyFill="0" applyAlignment="0" applyProtection="0"/>
    <xf numFmtId="0" fontId="74" fillId="0" borderId="61" applyNumberFormat="0" applyFill="0" applyAlignment="0" applyProtection="0"/>
    <xf numFmtId="0" fontId="58" fillId="0" borderId="47" applyNumberFormat="0" applyFill="0" applyAlignment="0" applyProtection="0"/>
    <xf numFmtId="0" fontId="74" fillId="0" borderId="61" applyNumberFormat="0" applyFill="0" applyAlignment="0" applyProtection="0"/>
    <xf numFmtId="0" fontId="7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20" borderId="55" applyNumberFormat="0" applyAlignment="0" applyProtection="0"/>
    <xf numFmtId="0" fontId="76" fillId="20" borderId="55" applyNumberFormat="0" applyAlignment="0" applyProtection="0"/>
    <xf numFmtId="0" fontId="76" fillId="20" borderId="55" applyNumberFormat="0" applyAlignment="0" applyProtection="0"/>
    <xf numFmtId="0" fontId="77" fillId="0" borderId="62" applyNumberFormat="0" applyFill="0" applyAlignment="0" applyProtection="0"/>
    <xf numFmtId="0" fontId="59" fillId="0" borderId="48" applyNumberFormat="0" applyFill="0" applyAlignment="0" applyProtection="0"/>
    <xf numFmtId="0" fontId="77" fillId="0" borderId="62" applyNumberFormat="0" applyFill="0" applyAlignment="0" applyProtection="0"/>
    <xf numFmtId="0" fontId="78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7" fillId="0" borderId="0">
      <alignment vertical="top"/>
    </xf>
    <xf numFmtId="0" fontId="10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36" borderId="63" applyNumberFormat="0" applyFont="0" applyAlignment="0" applyProtection="0"/>
    <xf numFmtId="0" fontId="4" fillId="36" borderId="63" applyNumberFormat="0" applyFont="0" applyAlignment="0" applyProtection="0"/>
    <xf numFmtId="0" fontId="79" fillId="33" borderId="64" applyNumberFormat="0" applyAlignment="0" applyProtection="0"/>
    <xf numFmtId="0" fontId="79" fillId="33" borderId="64" applyNumberFormat="0" applyAlignment="0" applyProtection="0"/>
    <xf numFmtId="0" fontId="79" fillId="33" borderId="64" applyNumberFormat="0" applyAlignment="0" applyProtection="0"/>
    <xf numFmtId="0" fontId="71" fillId="0" borderId="65" applyNumberFormat="0" applyProtection="0">
      <alignment wrapText="1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0" fillId="0" borderId="0" applyNumberFormat="0" applyProtection="0">
      <alignment horizontal="left"/>
    </xf>
    <xf numFmtId="0" fontId="5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66" applyNumberFormat="0" applyFill="0" applyAlignment="0" applyProtection="0"/>
    <xf numFmtId="0" fontId="41" fillId="0" borderId="49" applyNumberFormat="0" applyFill="0" applyAlignment="0" applyProtection="0"/>
    <xf numFmtId="0" fontId="82" fillId="0" borderId="66" applyNumberFormat="0" applyFill="0" applyAlignment="0" applyProtection="0"/>
    <xf numFmtId="0" fontId="8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/>
    <xf numFmtId="44" fontId="1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1" fillId="0" borderId="0"/>
    <xf numFmtId="0" fontId="97" fillId="0" borderId="0"/>
  </cellStyleXfs>
  <cellXfs count="852">
    <xf numFmtId="0" fontId="0" fillId="0" borderId="0" xfId="0"/>
    <xf numFmtId="164" fontId="9" fillId="0" borderId="0" xfId="34" applyNumberFormat="1" applyFont="1" applyBorder="1" applyAlignment="1">
      <alignment horizontal="center"/>
    </xf>
    <xf numFmtId="0" fontId="6" fillId="0" borderId="0" xfId="34" applyFont="1" applyFill="1" applyBorder="1" applyAlignment="1">
      <alignment horizontal="center"/>
    </xf>
    <xf numFmtId="170" fontId="6" fillId="0" borderId="0" xfId="35" applyNumberFormat="1" applyFont="1" applyFill="1" applyBorder="1" applyAlignment="1">
      <alignment horizontal="center"/>
    </xf>
    <xf numFmtId="164" fontId="8" fillId="0" borderId="16" xfId="2" applyNumberFormat="1" applyFont="1" applyBorder="1" applyAlignment="1">
      <alignment horizontal="center" wrapText="1"/>
    </xf>
    <xf numFmtId="0" fontId="3" fillId="5" borderId="2" xfId="2" applyFont="1" applyFill="1" applyBorder="1"/>
    <xf numFmtId="164" fontId="8" fillId="0" borderId="9" xfId="2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13" fillId="0" borderId="0" xfId="51" applyFont="1" applyFill="1" applyBorder="1" applyAlignment="1">
      <alignment horizontal="center"/>
    </xf>
    <xf numFmtId="3" fontId="13" fillId="0" borderId="0" xfId="51" applyNumberFormat="1" applyFont="1" applyFill="1" applyBorder="1"/>
    <xf numFmtId="0" fontId="7" fillId="0" borderId="0" xfId="51" applyFont="1" applyFill="1" applyBorder="1"/>
    <xf numFmtId="42" fontId="7" fillId="0" borderId="0" xfId="51" applyNumberFormat="1" applyFont="1" applyFill="1" applyBorder="1"/>
    <xf numFmtId="42" fontId="13" fillId="0" borderId="0" xfId="51" applyNumberFormat="1" applyFont="1" applyFill="1" applyBorder="1"/>
    <xf numFmtId="44" fontId="7" fillId="0" borderId="0" xfId="51" applyNumberFormat="1" applyFont="1" applyFill="1" applyBorder="1"/>
    <xf numFmtId="44" fontId="14" fillId="0" borderId="0" xfId="51" applyNumberFormat="1" applyFont="1" applyFill="1" applyBorder="1"/>
    <xf numFmtId="168" fontId="7" fillId="0" borderId="0" xfId="51" applyNumberFormat="1" applyFont="1" applyFill="1" applyBorder="1"/>
    <xf numFmtId="0" fontId="8" fillId="0" borderId="32" xfId="0" applyFont="1" applyBorder="1" applyAlignment="1">
      <alignment horizontal="center"/>
    </xf>
    <xf numFmtId="0" fontId="3" fillId="0" borderId="0" xfId="51" applyFont="1" applyFill="1" applyBorder="1" applyAlignment="1">
      <alignment horizontal="center"/>
    </xf>
    <xf numFmtId="1" fontId="13" fillId="0" borderId="0" xfId="51" applyNumberFormat="1" applyFont="1" applyBorder="1"/>
    <xf numFmtId="0" fontId="13" fillId="0" borderId="0" xfId="51" applyFont="1" applyBorder="1"/>
    <xf numFmtId="3" fontId="13" fillId="0" borderId="24" xfId="51" applyNumberFormat="1" applyFont="1" applyBorder="1"/>
    <xf numFmtId="0" fontId="7" fillId="0" borderId="0" xfId="51" applyFont="1" applyBorder="1"/>
    <xf numFmtId="0" fontId="13" fillId="0" borderId="19" xfId="51" applyFont="1" applyBorder="1"/>
    <xf numFmtId="0" fontId="13" fillId="0" borderId="18" xfId="51" applyFont="1" applyBorder="1"/>
    <xf numFmtId="0" fontId="13" fillId="0" borderId="18" xfId="51" applyFont="1" applyBorder="1" applyAlignment="1">
      <alignment horizontal="center"/>
    </xf>
    <xf numFmtId="0" fontId="13" fillId="0" borderId="17" xfId="51" applyFont="1" applyBorder="1" applyAlignment="1">
      <alignment horizontal="center"/>
    </xf>
    <xf numFmtId="0" fontId="3" fillId="0" borderId="14" xfId="51" applyFont="1" applyBorder="1" applyAlignment="1"/>
    <xf numFmtId="2" fontId="15" fillId="0" borderId="0" xfId="0" applyNumberFormat="1" applyFont="1" applyBorder="1"/>
    <xf numFmtId="168" fontId="7" fillId="0" borderId="24" xfId="13" applyNumberFormat="1" applyFont="1" applyBorder="1" applyAlignment="1">
      <alignment horizontal="right"/>
    </xf>
    <xf numFmtId="2" fontId="4" fillId="3" borderId="0" xfId="0" applyNumberFormat="1" applyFont="1" applyFill="1" applyBorder="1"/>
    <xf numFmtId="2" fontId="15" fillId="0" borderId="18" xfId="0" applyNumberFormat="1" applyFont="1" applyBorder="1"/>
    <xf numFmtId="0" fontId="13" fillId="0" borderId="20" xfId="51" applyFont="1" applyBorder="1"/>
    <xf numFmtId="4" fontId="13" fillId="0" borderId="18" xfId="51" applyNumberFormat="1" applyFont="1" applyBorder="1"/>
    <xf numFmtId="168" fontId="13" fillId="0" borderId="26" xfId="13" applyNumberFormat="1" applyFont="1" applyBorder="1" applyAlignment="1">
      <alignment horizontal="right"/>
    </xf>
    <xf numFmtId="44" fontId="7" fillId="0" borderId="24" xfId="13" applyFont="1" applyBorder="1" applyAlignment="1">
      <alignment horizontal="right"/>
    </xf>
    <xf numFmtId="0" fontId="13" fillId="0" borderId="0" xfId="51" applyFont="1" applyBorder="1" applyAlignment="1">
      <alignment horizontal="right"/>
    </xf>
    <xf numFmtId="44" fontId="13" fillId="0" borderId="20" xfId="51" applyNumberFormat="1" applyFont="1" applyBorder="1"/>
    <xf numFmtId="0" fontId="7" fillId="0" borderId="0" xfId="51" applyFont="1" applyBorder="1" applyAlignment="1">
      <alignment horizontal="right"/>
    </xf>
    <xf numFmtId="169" fontId="7" fillId="0" borderId="0" xfId="51" applyNumberFormat="1" applyFont="1" applyBorder="1" applyAlignment="1">
      <alignment horizontal="right"/>
    </xf>
    <xf numFmtId="5" fontId="7" fillId="0" borderId="0" xfId="13" applyNumberFormat="1" applyFont="1" applyBorder="1" applyAlignment="1">
      <alignment horizontal="right"/>
    </xf>
    <xf numFmtId="10" fontId="4" fillId="0" borderId="21" xfId="52" applyNumberFormat="1" applyFont="1" applyFill="1" applyBorder="1"/>
    <xf numFmtId="0" fontId="7" fillId="0" borderId="21" xfId="51" applyFont="1" applyBorder="1"/>
    <xf numFmtId="168" fontId="7" fillId="0" borderId="22" xfId="13" applyNumberFormat="1" applyFont="1" applyBorder="1" applyAlignment="1">
      <alignment horizontal="right"/>
    </xf>
    <xf numFmtId="0" fontId="7" fillId="0" borderId="6" xfId="51" applyFont="1" applyBorder="1"/>
    <xf numFmtId="3" fontId="13" fillId="0" borderId="27" xfId="51" applyNumberFormat="1" applyFont="1" applyBorder="1" applyAlignment="1">
      <alignment horizontal="right"/>
    </xf>
    <xf numFmtId="0" fontId="7" fillId="0" borderId="33" xfId="51" applyFont="1" applyBorder="1"/>
    <xf numFmtId="0" fontId="7" fillId="0" borderId="34" xfId="51" applyFont="1" applyBorder="1"/>
    <xf numFmtId="44" fontId="7" fillId="0" borderId="35" xfId="13" applyFont="1" applyBorder="1" applyAlignment="1">
      <alignment horizontal="right"/>
    </xf>
    <xf numFmtId="0" fontId="7" fillId="0" borderId="36" xfId="51" applyFont="1" applyBorder="1"/>
    <xf numFmtId="0" fontId="7" fillId="0" borderId="29" xfId="51" applyFont="1" applyBorder="1"/>
    <xf numFmtId="10" fontId="7" fillId="0" borderId="29" xfId="50" applyNumberFormat="1" applyFont="1" applyBorder="1"/>
    <xf numFmtId="10" fontId="7" fillId="0" borderId="0" xfId="50" applyNumberFormat="1" applyFont="1" applyBorder="1"/>
    <xf numFmtId="167" fontId="16" fillId="0" borderId="0" xfId="51" applyNumberFormat="1" applyFont="1" applyFill="1" applyBorder="1" applyAlignment="1">
      <alignment horizontal="right"/>
    </xf>
    <xf numFmtId="44" fontId="7" fillId="0" borderId="12" xfId="53" applyFont="1" applyBorder="1"/>
    <xf numFmtId="42" fontId="7" fillId="0" borderId="0" xfId="51" applyNumberFormat="1" applyFont="1" applyBorder="1"/>
    <xf numFmtId="0" fontId="3" fillId="0" borderId="10" xfId="51" applyFont="1" applyFill="1" applyBorder="1" applyAlignment="1">
      <alignment horizontal="center"/>
    </xf>
    <xf numFmtId="44" fontId="3" fillId="0" borderId="12" xfId="53" applyFont="1" applyFill="1" applyBorder="1" applyAlignment="1"/>
    <xf numFmtId="3" fontId="13" fillId="0" borderId="0" xfId="51" applyNumberFormat="1" applyFont="1" applyBorder="1"/>
    <xf numFmtId="0" fontId="15" fillId="0" borderId="0" xfId="51" applyFont="1" applyBorder="1"/>
    <xf numFmtId="0" fontId="15" fillId="0" borderId="0" xfId="51" applyFont="1"/>
    <xf numFmtId="0" fontId="15" fillId="0" borderId="0" xfId="0" applyFont="1"/>
    <xf numFmtId="0" fontId="7" fillId="0" borderId="23" xfId="51" applyFont="1" applyBorder="1"/>
    <xf numFmtId="0" fontId="7" fillId="0" borderId="7" xfId="51" applyFont="1" applyBorder="1"/>
    <xf numFmtId="10" fontId="7" fillId="0" borderId="7" xfId="50" applyNumberFormat="1" applyFont="1" applyBorder="1"/>
    <xf numFmtId="44" fontId="13" fillId="4" borderId="13" xfId="13" applyNumberFormat="1" applyFont="1" applyFill="1" applyBorder="1" applyAlignment="1">
      <alignment horizontal="right"/>
    </xf>
    <xf numFmtId="44" fontId="7" fillId="0" borderId="0" xfId="13" applyNumberFormat="1" applyFont="1" applyFill="1" applyBorder="1" applyAlignment="1">
      <alignment horizontal="right"/>
    </xf>
    <xf numFmtId="10" fontId="7" fillId="0" borderId="0" xfId="50" applyNumberFormat="1" applyFont="1" applyFill="1" applyBorder="1"/>
    <xf numFmtId="44" fontId="3" fillId="0" borderId="0" xfId="36" applyFont="1" applyFill="1" applyBorder="1" applyAlignment="1">
      <alignment horizontal="right"/>
    </xf>
    <xf numFmtId="7" fontId="3" fillId="0" borderId="0" xfId="36" applyNumberFormat="1" applyFont="1" applyFill="1" applyBorder="1" applyAlignment="1"/>
    <xf numFmtId="0" fontId="16" fillId="0" borderId="0" xfId="34" applyFont="1" applyBorder="1" applyAlignment="1">
      <alignment horizontal="right"/>
    </xf>
    <xf numFmtId="10" fontId="16" fillId="0" borderId="0" xfId="1" applyNumberFormat="1" applyFont="1" applyBorder="1"/>
    <xf numFmtId="0" fontId="17" fillId="0" borderId="0" xfId="0" applyFont="1" applyBorder="1"/>
    <xf numFmtId="42" fontId="4" fillId="3" borderId="0" xfId="0" applyNumberFormat="1" applyFont="1" applyFill="1" applyBorder="1"/>
    <xf numFmtId="0" fontId="16" fillId="0" borderId="0" xfId="51" applyFont="1" applyFill="1" applyBorder="1"/>
    <xf numFmtId="0" fontId="15" fillId="0" borderId="0" xfId="51" applyFont="1" applyFill="1" applyBorder="1"/>
    <xf numFmtId="10" fontId="4" fillId="0" borderId="0" xfId="51" applyNumberFormat="1" applyFont="1" applyFill="1" applyBorder="1"/>
    <xf numFmtId="0" fontId="14" fillId="0" borderId="32" xfId="0" applyFont="1" applyBorder="1" applyAlignment="1">
      <alignment horizontal="center" vertical="center"/>
    </xf>
    <xf numFmtId="0" fontId="15" fillId="0" borderId="0" xfId="34" applyFont="1" applyBorder="1"/>
    <xf numFmtId="0" fontId="15" fillId="0" borderId="0" xfId="34" applyFont="1"/>
    <xf numFmtId="0" fontId="13" fillId="0" borderId="0" xfId="34" applyFont="1" applyFill="1" applyBorder="1" applyAlignment="1">
      <alignment horizontal="center"/>
    </xf>
    <xf numFmtId="0" fontId="3" fillId="0" borderId="0" xfId="34" applyFont="1" applyFill="1" applyBorder="1" applyAlignment="1">
      <alignment horizontal="center"/>
    </xf>
    <xf numFmtId="0" fontId="13" fillId="0" borderId="0" xfId="34" applyFont="1" applyBorder="1"/>
    <xf numFmtId="3" fontId="13" fillId="0" borderId="24" xfId="34" applyNumberFormat="1" applyFont="1" applyBorder="1"/>
    <xf numFmtId="3" fontId="13" fillId="0" borderId="0" xfId="34" applyNumberFormat="1" applyFont="1" applyFill="1" applyBorder="1"/>
    <xf numFmtId="0" fontId="13" fillId="0" borderId="19" xfId="34" applyFont="1" applyBorder="1"/>
    <xf numFmtId="0" fontId="13" fillId="0" borderId="18" xfId="34" applyFont="1" applyBorder="1"/>
    <xf numFmtId="0" fontId="13" fillId="0" borderId="18" xfId="34" applyFont="1" applyBorder="1" applyAlignment="1">
      <alignment horizontal="center"/>
    </xf>
    <xf numFmtId="0" fontId="13" fillId="0" borderId="17" xfId="34" applyFont="1" applyBorder="1" applyAlignment="1">
      <alignment horizontal="center"/>
    </xf>
    <xf numFmtId="0" fontId="7" fillId="0" borderId="0" xfId="34" applyFont="1" applyFill="1" applyBorder="1"/>
    <xf numFmtId="0" fontId="3" fillId="0" borderId="14" xfId="34" applyFont="1" applyBorder="1" applyAlignment="1"/>
    <xf numFmtId="0" fontId="7" fillId="0" borderId="0" xfId="34" applyFont="1" applyBorder="1"/>
    <xf numFmtId="2" fontId="18" fillId="0" borderId="0" xfId="34" applyNumberFormat="1" applyFont="1" applyBorder="1"/>
    <xf numFmtId="42" fontId="7" fillId="0" borderId="24" xfId="34" applyNumberFormat="1" applyFont="1" applyBorder="1"/>
    <xf numFmtId="168" fontId="13" fillId="0" borderId="0" xfId="13" applyNumberFormat="1" applyFont="1" applyFill="1" applyBorder="1" applyAlignment="1">
      <alignment horizontal="center"/>
    </xf>
    <xf numFmtId="4" fontId="18" fillId="0" borderId="0" xfId="34" applyNumberFormat="1" applyFont="1" applyBorder="1"/>
    <xf numFmtId="166" fontId="3" fillId="0" borderId="14" xfId="34" applyNumberFormat="1" applyFont="1" applyBorder="1" applyAlignment="1"/>
    <xf numFmtId="0" fontId="13" fillId="0" borderId="9" xfId="34" applyFont="1" applyBorder="1"/>
    <xf numFmtId="0" fontId="13" fillId="0" borderId="20" xfId="34" applyFont="1" applyBorder="1"/>
    <xf numFmtId="4" fontId="13" fillId="0" borderId="20" xfId="34" applyNumberFormat="1" applyFont="1" applyBorder="1"/>
    <xf numFmtId="42" fontId="13" fillId="0" borderId="26" xfId="34" applyNumberFormat="1" applyFont="1" applyBorder="1"/>
    <xf numFmtId="0" fontId="7" fillId="0" borderId="14" xfId="34" applyFont="1" applyBorder="1"/>
    <xf numFmtId="0" fontId="7" fillId="0" borderId="24" xfId="34" applyFont="1" applyBorder="1"/>
    <xf numFmtId="0" fontId="13" fillId="0" borderId="14" xfId="34" applyFont="1" applyBorder="1"/>
    <xf numFmtId="10" fontId="19" fillId="0" borderId="0" xfId="34" applyNumberFormat="1" applyFont="1" applyBorder="1"/>
    <xf numFmtId="44" fontId="13" fillId="0" borderId="20" xfId="34" applyNumberFormat="1" applyFont="1" applyBorder="1"/>
    <xf numFmtId="169" fontId="7" fillId="0" borderId="0" xfId="34" applyNumberFormat="1" applyFont="1" applyBorder="1"/>
    <xf numFmtId="167" fontId="7" fillId="0" borderId="0" xfId="34" applyNumberFormat="1" applyFont="1" applyFill="1" applyBorder="1"/>
    <xf numFmtId="5" fontId="7" fillId="0" borderId="24" xfId="34" applyNumberFormat="1" applyFont="1" applyBorder="1"/>
    <xf numFmtId="0" fontId="7" fillId="0" borderId="25" xfId="34" applyFont="1" applyBorder="1"/>
    <xf numFmtId="0" fontId="7" fillId="0" borderId="6" xfId="34" applyFont="1" applyBorder="1"/>
    <xf numFmtId="169" fontId="7" fillId="0" borderId="6" xfId="34" applyNumberFormat="1" applyFont="1" applyBorder="1"/>
    <xf numFmtId="167" fontId="7" fillId="0" borderId="6" xfId="34" applyNumberFormat="1" applyFont="1" applyFill="1" applyBorder="1"/>
    <xf numFmtId="5" fontId="7" fillId="0" borderId="27" xfId="34" applyNumberFormat="1" applyFont="1" applyBorder="1"/>
    <xf numFmtId="42" fontId="13" fillId="0" borderId="17" xfId="34" applyNumberFormat="1" applyFont="1" applyBorder="1"/>
    <xf numFmtId="9" fontId="7" fillId="0" borderId="6" xfId="34" applyNumberFormat="1" applyFont="1" applyFill="1" applyBorder="1"/>
    <xf numFmtId="10" fontId="19" fillId="0" borderId="6" xfId="35" applyNumberFormat="1" applyFont="1" applyFill="1" applyBorder="1"/>
    <xf numFmtId="42" fontId="7" fillId="0" borderId="27" xfId="34" applyNumberFormat="1" applyFont="1" applyBorder="1"/>
    <xf numFmtId="0" fontId="7" fillId="0" borderId="18" xfId="34" applyFont="1" applyBorder="1"/>
    <xf numFmtId="42" fontId="7" fillId="0" borderId="0" xfId="34" applyNumberFormat="1" applyFont="1" applyFill="1" applyBorder="1"/>
    <xf numFmtId="0" fontId="7" fillId="0" borderId="9" xfId="34" applyFont="1" applyBorder="1"/>
    <xf numFmtId="9" fontId="7" fillId="0" borderId="20" xfId="34" applyNumberFormat="1" applyFont="1" applyFill="1" applyBorder="1"/>
    <xf numFmtId="10" fontId="19" fillId="0" borderId="20" xfId="35" applyNumberFormat="1" applyFont="1" applyFill="1" applyBorder="1"/>
    <xf numFmtId="0" fontId="7" fillId="0" borderId="20" xfId="34" applyFont="1" applyBorder="1"/>
    <xf numFmtId="171" fontId="7" fillId="0" borderId="26" xfId="34" applyNumberFormat="1" applyFont="1" applyBorder="1"/>
    <xf numFmtId="171" fontId="13" fillId="0" borderId="0" xfId="34" applyNumberFormat="1" applyFont="1" applyFill="1" applyBorder="1"/>
    <xf numFmtId="0" fontId="7" fillId="0" borderId="23" xfId="34" applyFont="1" applyBorder="1"/>
    <xf numFmtId="0" fontId="7" fillId="0" borderId="7" xfId="34" applyFont="1" applyBorder="1"/>
    <xf numFmtId="44" fontId="7" fillId="0" borderId="7" xfId="36" applyFont="1" applyBorder="1"/>
    <xf numFmtId="0" fontId="15" fillId="0" borderId="0" xfId="34" applyFont="1" applyFill="1" applyBorder="1"/>
    <xf numFmtId="10" fontId="15" fillId="0" borderId="0" xfId="34" applyNumberFormat="1" applyFont="1" applyFill="1" applyBorder="1"/>
    <xf numFmtId="167" fontId="16" fillId="0" borderId="0" xfId="34" applyNumberFormat="1" applyFont="1" applyFill="1" applyBorder="1"/>
    <xf numFmtId="2" fontId="7" fillId="0" borderId="0" xfId="34" applyNumberFormat="1" applyFont="1" applyFill="1" applyBorder="1"/>
    <xf numFmtId="44" fontId="7" fillId="0" borderId="0" xfId="34" applyNumberFormat="1" applyFont="1" applyFill="1" applyBorder="1"/>
    <xf numFmtId="9" fontId="13" fillId="0" borderId="0" xfId="34" applyNumberFormat="1" applyFont="1" applyFill="1" applyBorder="1"/>
    <xf numFmtId="10" fontId="16" fillId="0" borderId="0" xfId="34" applyNumberFormat="1" applyFont="1" applyBorder="1"/>
    <xf numFmtId="168" fontId="7" fillId="0" borderId="0" xfId="34" applyNumberFormat="1" applyFont="1" applyFill="1" applyBorder="1"/>
    <xf numFmtId="42" fontId="13" fillId="0" borderId="0" xfId="34" applyNumberFormat="1" applyFont="1" applyFill="1" applyBorder="1"/>
    <xf numFmtId="44" fontId="3" fillId="0" borderId="0" xfId="36" applyFont="1" applyFill="1" applyBorder="1" applyAlignment="1"/>
    <xf numFmtId="0" fontId="15" fillId="0" borderId="0" xfId="0" applyFont="1" applyFill="1" applyBorder="1"/>
    <xf numFmtId="8" fontId="16" fillId="0" borderId="0" xfId="0" applyNumberFormat="1" applyFont="1" applyFill="1" applyBorder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6" fillId="0" borderId="0" xfId="34" applyFont="1" applyBorder="1"/>
    <xf numFmtId="0" fontId="16" fillId="0" borderId="0" xfId="34" applyFont="1" applyBorder="1" applyAlignment="1">
      <alignment horizontal="center"/>
    </xf>
    <xf numFmtId="168" fontId="7" fillId="0" borderId="24" xfId="13" applyNumberFormat="1" applyFont="1" applyBorder="1"/>
    <xf numFmtId="168" fontId="7" fillId="0" borderId="17" xfId="13" applyNumberFormat="1" applyFont="1" applyBorder="1"/>
    <xf numFmtId="5" fontId="7" fillId="0" borderId="17" xfId="34" applyNumberFormat="1" applyFont="1" applyBorder="1"/>
    <xf numFmtId="168" fontId="7" fillId="0" borderId="27" xfId="13" applyNumberFormat="1" applyFont="1" applyBorder="1"/>
    <xf numFmtId="0" fontId="15" fillId="0" borderId="23" xfId="34" applyFont="1" applyBorder="1"/>
    <xf numFmtId="0" fontId="15" fillId="0" borderId="7" xfId="34" applyFont="1" applyBorder="1"/>
    <xf numFmtId="10" fontId="15" fillId="0" borderId="7" xfId="34" applyNumberFormat="1" applyFont="1" applyFill="1" applyBorder="1"/>
    <xf numFmtId="0" fontId="15" fillId="0" borderId="11" xfId="34" applyFont="1" applyBorder="1"/>
    <xf numFmtId="0" fontId="15" fillId="0" borderId="12" xfId="34" applyFont="1" applyBorder="1"/>
    <xf numFmtId="167" fontId="15" fillId="0" borderId="0" xfId="34" applyNumberFormat="1" applyFont="1" applyFill="1" applyBorder="1"/>
    <xf numFmtId="168" fontId="7" fillId="0" borderId="0" xfId="13" applyNumberFormat="1" applyFont="1" applyFill="1" applyBorder="1" applyAlignment="1">
      <alignment horizontal="center"/>
    </xf>
    <xf numFmtId="0" fontId="15" fillId="0" borderId="11" xfId="34" applyFont="1" applyFill="1" applyBorder="1"/>
    <xf numFmtId="0" fontId="15" fillId="0" borderId="12" xfId="34" applyFont="1" applyFill="1" applyBorder="1"/>
    <xf numFmtId="10" fontId="15" fillId="0" borderId="12" xfId="34" applyNumberFormat="1" applyFont="1" applyFill="1" applyBorder="1"/>
    <xf numFmtId="171" fontId="14" fillId="0" borderId="0" xfId="34" applyNumberFormat="1" applyFont="1" applyFill="1" applyBorder="1"/>
    <xf numFmtId="168" fontId="7" fillId="0" borderId="0" xfId="13" applyNumberFormat="1" applyFont="1" applyFill="1" applyBorder="1"/>
    <xf numFmtId="9" fontId="13" fillId="0" borderId="12" xfId="34" applyNumberFormat="1" applyFont="1" applyFill="1" applyBorder="1"/>
    <xf numFmtId="10" fontId="16" fillId="0" borderId="12" xfId="34" applyNumberFormat="1" applyFont="1" applyBorder="1"/>
    <xf numFmtId="44" fontId="3" fillId="0" borderId="12" xfId="36" applyFont="1" applyFill="1" applyBorder="1" applyAlignment="1"/>
    <xf numFmtId="167" fontId="3" fillId="4" borderId="13" xfId="36" applyNumberFormat="1" applyFont="1" applyFill="1" applyBorder="1" applyAlignment="1"/>
    <xf numFmtId="44" fontId="13" fillId="0" borderId="0" xfId="34" applyNumberFormat="1" applyFont="1" applyFill="1" applyBorder="1"/>
    <xf numFmtId="10" fontId="7" fillId="0" borderId="0" xfId="34" applyNumberFormat="1" applyFont="1" applyFill="1" applyBorder="1"/>
    <xf numFmtId="0" fontId="8" fillId="0" borderId="0" xfId="2" applyFont="1" applyFill="1" applyBorder="1" applyAlignment="1">
      <alignment horizontal="center"/>
    </xf>
    <xf numFmtId="0" fontId="20" fillId="0" borderId="0" xfId="2" applyFont="1" applyFill="1" applyBorder="1"/>
    <xf numFmtId="0" fontId="21" fillId="0" borderId="0" xfId="2" applyFont="1" applyFill="1" applyBorder="1" applyAlignment="1">
      <alignment horizontal="center"/>
    </xf>
    <xf numFmtId="0" fontId="21" fillId="0" borderId="0" xfId="2" applyFont="1" applyFill="1" applyBorder="1"/>
    <xf numFmtId="8" fontId="21" fillId="0" borderId="0" xfId="2" applyNumberFormat="1" applyFont="1" applyFill="1"/>
    <xf numFmtId="44" fontId="21" fillId="0" borderId="0" xfId="2" applyNumberFormat="1" applyFont="1" applyFill="1"/>
    <xf numFmtId="3" fontId="13" fillId="0" borderId="0" xfId="34" applyNumberFormat="1" applyFont="1" applyBorder="1"/>
    <xf numFmtId="0" fontId="13" fillId="0" borderId="0" xfId="34" applyFont="1" applyBorder="1" applyAlignment="1">
      <alignment horizontal="center"/>
    </xf>
    <xf numFmtId="6" fontId="22" fillId="3" borderId="0" xfId="37" applyNumberFormat="1" applyFont="1" applyFill="1" applyBorder="1" applyAlignment="1">
      <alignment wrapText="1"/>
    </xf>
    <xf numFmtId="42" fontId="7" fillId="0" borderId="0" xfId="34" applyNumberFormat="1" applyFont="1" applyBorder="1"/>
    <xf numFmtId="6" fontId="22" fillId="3" borderId="0" xfId="37" applyNumberFormat="1" applyFont="1" applyFill="1" applyBorder="1" applyAlignment="1">
      <alignment horizontal="right" wrapText="1"/>
    </xf>
    <xf numFmtId="42" fontId="13" fillId="0" borderId="0" xfId="34" applyNumberFormat="1" applyFont="1" applyBorder="1"/>
    <xf numFmtId="0" fontId="15" fillId="0" borderId="0" xfId="2" applyFont="1"/>
    <xf numFmtId="5" fontId="7" fillId="0" borderId="0" xfId="34" applyNumberFormat="1" applyFont="1" applyBorder="1"/>
    <xf numFmtId="44" fontId="14" fillId="0" borderId="0" xfId="34" applyNumberFormat="1" applyFont="1" applyFill="1" applyBorder="1"/>
    <xf numFmtId="44" fontId="7" fillId="0" borderId="0" xfId="34" applyNumberFormat="1" applyFont="1" applyBorder="1"/>
    <xf numFmtId="44" fontId="7" fillId="4" borderId="8" xfId="13" applyFont="1" applyFill="1" applyBorder="1"/>
    <xf numFmtId="42" fontId="14" fillId="0" borderId="0" xfId="34" applyNumberFormat="1" applyFont="1" applyFill="1" applyBorder="1"/>
    <xf numFmtId="44" fontId="14" fillId="0" borderId="0" xfId="36" applyFont="1" applyFill="1" applyBorder="1"/>
    <xf numFmtId="0" fontId="3" fillId="0" borderId="0" xfId="2" applyFont="1"/>
    <xf numFmtId="0" fontId="23" fillId="0" borderId="0" xfId="2" applyFont="1"/>
    <xf numFmtId="0" fontId="15" fillId="5" borderId="3" xfId="2" applyFont="1" applyFill="1" applyBorder="1"/>
    <xf numFmtId="0" fontId="15" fillId="3" borderId="20" xfId="2" applyFont="1" applyFill="1" applyBorder="1"/>
    <xf numFmtId="0" fontId="15" fillId="0" borderId="19" xfId="2" applyFont="1" applyBorder="1"/>
    <xf numFmtId="0" fontId="15" fillId="0" borderId="18" xfId="2" applyFont="1" applyBorder="1"/>
    <xf numFmtId="44" fontId="7" fillId="0" borderId="0" xfId="13" applyFont="1" applyFill="1" applyBorder="1"/>
    <xf numFmtId="0" fontId="15" fillId="0" borderId="28" xfId="2" applyFont="1" applyBorder="1"/>
    <xf numFmtId="0" fontId="15" fillId="0" borderId="21" xfId="2" applyFont="1" applyBorder="1"/>
    <xf numFmtId="0" fontId="15" fillId="5" borderId="11" xfId="2" applyFont="1" applyFill="1" applyBorder="1"/>
    <xf numFmtId="0" fontId="15" fillId="5" borderId="12" xfId="2" applyFont="1" applyFill="1" applyBorder="1"/>
    <xf numFmtId="0" fontId="13" fillId="0" borderId="0" xfId="34" applyFont="1" applyFill="1" applyBorder="1"/>
    <xf numFmtId="0" fontId="15" fillId="5" borderId="23" xfId="2" applyFont="1" applyFill="1" applyBorder="1"/>
    <xf numFmtId="0" fontId="15" fillId="5" borderId="7" xfId="2" applyFont="1" applyFill="1" applyBorder="1"/>
    <xf numFmtId="44" fontId="7" fillId="0" borderId="0" xfId="13" applyNumberFormat="1" applyFont="1" applyFill="1" applyBorder="1"/>
    <xf numFmtId="0" fontId="24" fillId="0" borderId="16" xfId="34" applyFont="1" applyBorder="1" applyAlignment="1">
      <alignment horizontal="center"/>
    </xf>
    <xf numFmtId="2" fontId="13" fillId="0" borderId="0" xfId="34" applyNumberFormat="1" applyFont="1" applyBorder="1"/>
    <xf numFmtId="0" fontId="15" fillId="0" borderId="0" xfId="0" applyFont="1" applyBorder="1"/>
    <xf numFmtId="0" fontId="13" fillId="0" borderId="0" xfId="51" applyFont="1" applyFill="1" applyBorder="1"/>
    <xf numFmtId="0" fontId="4" fillId="0" borderId="0" xfId="51" applyFont="1" applyFill="1" applyBorder="1"/>
    <xf numFmtId="0" fontId="25" fillId="0" borderId="0" xfId="0" applyFont="1"/>
    <xf numFmtId="0" fontId="26" fillId="0" borderId="0" xfId="0" applyFont="1"/>
    <xf numFmtId="0" fontId="0" fillId="0" borderId="0" xfId="0" applyAlignment="1">
      <alignment horizontal="center"/>
    </xf>
    <xf numFmtId="0" fontId="6" fillId="0" borderId="0" xfId="34" applyFont="1" applyFill="1" applyBorder="1" applyAlignment="1">
      <alignment horizontal="right"/>
    </xf>
    <xf numFmtId="0" fontId="0" fillId="0" borderId="0" xfId="0" applyBorder="1"/>
    <xf numFmtId="0" fontId="27" fillId="0" borderId="0" xfId="34" applyFont="1" applyFill="1" applyBorder="1" applyAlignment="1">
      <alignment horizontal="center"/>
    </xf>
    <xf numFmtId="0" fontId="28" fillId="0" borderId="0" xfId="34" applyFont="1" applyFill="1" applyBorder="1" applyAlignment="1">
      <alignment horizontal="center"/>
    </xf>
    <xf numFmtId="2" fontId="27" fillId="0" borderId="0" xfId="34" applyNumberFormat="1" applyFont="1" applyBorder="1"/>
    <xf numFmtId="0" fontId="27" fillId="0" borderId="0" xfId="34" applyFont="1" applyBorder="1"/>
    <xf numFmtId="3" fontId="27" fillId="0" borderId="24" xfId="34" applyNumberFormat="1" applyFont="1" applyBorder="1"/>
    <xf numFmtId="3" fontId="27" fillId="0" borderId="0" xfId="34" applyNumberFormat="1" applyFont="1" applyFill="1" applyBorder="1"/>
    <xf numFmtId="0" fontId="27" fillId="0" borderId="14" xfId="34" applyFont="1" applyBorder="1"/>
    <xf numFmtId="0" fontId="29" fillId="0" borderId="0" xfId="34" applyFont="1" applyBorder="1"/>
    <xf numFmtId="0" fontId="30" fillId="0" borderId="0" xfId="34" applyFont="1" applyFill="1" applyBorder="1"/>
    <xf numFmtId="0" fontId="27" fillId="0" borderId="19" xfId="34" applyFont="1" applyBorder="1"/>
    <xf numFmtId="0" fontId="27" fillId="0" borderId="18" xfId="34" applyFont="1" applyBorder="1"/>
    <xf numFmtId="0" fontId="27" fillId="0" borderId="18" xfId="34" applyFont="1" applyBorder="1" applyAlignment="1">
      <alignment horizontal="center"/>
    </xf>
    <xf numFmtId="0" fontId="27" fillId="0" borderId="17" xfId="34" applyFont="1" applyBorder="1" applyAlignment="1">
      <alignment horizontal="center"/>
    </xf>
    <xf numFmtId="42" fontId="30" fillId="0" borderId="24" xfId="34" applyNumberFormat="1" applyFont="1" applyFill="1" applyBorder="1"/>
    <xf numFmtId="42" fontId="30" fillId="0" borderId="0" xfId="34" applyNumberFormat="1" applyFont="1" applyFill="1" applyBorder="1"/>
    <xf numFmtId="0" fontId="29" fillId="0" borderId="0" xfId="2" applyFont="1" applyFill="1"/>
    <xf numFmtId="42" fontId="27" fillId="0" borderId="26" xfId="34" applyNumberFormat="1" applyFont="1" applyFill="1" applyBorder="1"/>
    <xf numFmtId="0" fontId="30" fillId="0" borderId="24" xfId="34" applyFont="1" applyFill="1" applyBorder="1"/>
    <xf numFmtId="42" fontId="27" fillId="0" borderId="0" xfId="34" applyNumberFormat="1" applyFont="1" applyFill="1" applyBorder="1"/>
    <xf numFmtId="5" fontId="30" fillId="0" borderId="24" xfId="34" applyNumberFormat="1" applyFont="1" applyFill="1" applyBorder="1"/>
    <xf numFmtId="42" fontId="27" fillId="0" borderId="17" xfId="34" applyNumberFormat="1" applyFont="1" applyFill="1" applyBorder="1"/>
    <xf numFmtId="42" fontId="30" fillId="0" borderId="27" xfId="34" applyNumberFormat="1" applyFont="1" applyFill="1" applyBorder="1"/>
    <xf numFmtId="42" fontId="27" fillId="0" borderId="17" xfId="34" applyNumberFormat="1" applyFont="1" applyBorder="1"/>
    <xf numFmtId="44" fontId="30" fillId="0" borderId="0" xfId="13" applyFont="1" applyFill="1" applyBorder="1"/>
    <xf numFmtId="44" fontId="30" fillId="0" borderId="0" xfId="34" applyNumberFormat="1" applyFont="1" applyFill="1" applyBorder="1"/>
    <xf numFmtId="44" fontId="32" fillId="4" borderId="8" xfId="13" applyFont="1" applyFill="1" applyBorder="1"/>
    <xf numFmtId="44" fontId="33" fillId="0" borderId="0" xfId="34" applyNumberFormat="1" applyFont="1" applyFill="1" applyBorder="1"/>
    <xf numFmtId="0" fontId="29" fillId="0" borderId="0" xfId="0" applyFont="1"/>
    <xf numFmtId="44" fontId="28" fillId="0" borderId="0" xfId="36" applyFont="1" applyFill="1" applyBorder="1" applyAlignment="1">
      <alignment horizontal="right"/>
    </xf>
    <xf numFmtId="7" fontId="28" fillId="0" borderId="0" xfId="36" applyNumberFormat="1" applyFont="1" applyFill="1" applyBorder="1" applyAlignment="1"/>
    <xf numFmtId="0" fontId="32" fillId="0" borderId="0" xfId="34" applyFont="1" applyBorder="1" applyAlignment="1">
      <alignment horizontal="right"/>
    </xf>
    <xf numFmtId="10" fontId="32" fillId="0" borderId="0" xfId="1" applyNumberFormat="1" applyFont="1" applyBorder="1"/>
    <xf numFmtId="1" fontId="15" fillId="0" borderId="0" xfId="0" applyNumberFormat="1" applyFont="1"/>
    <xf numFmtId="43" fontId="0" fillId="0" borderId="0" xfId="55" applyFont="1"/>
    <xf numFmtId="43" fontId="15" fillId="0" borderId="0" xfId="0" applyNumberFormat="1" applyFont="1"/>
    <xf numFmtId="44" fontId="15" fillId="0" borderId="0" xfId="0" applyNumberFormat="1" applyFont="1"/>
    <xf numFmtId="172" fontId="15" fillId="0" borderId="0" xfId="0" applyNumberFormat="1" applyFont="1"/>
    <xf numFmtId="0" fontId="34" fillId="0" borderId="13" xfId="34" applyFont="1" applyFill="1" applyBorder="1" applyAlignment="1">
      <alignment horizontal="left"/>
    </xf>
    <xf numFmtId="0" fontId="34" fillId="0" borderId="11" xfId="34" applyFont="1" applyBorder="1" applyAlignment="1">
      <alignment horizontal="center"/>
    </xf>
    <xf numFmtId="0" fontId="15" fillId="0" borderId="12" xfId="0" applyFont="1" applyBorder="1"/>
    <xf numFmtId="0" fontId="15" fillId="0" borderId="13" xfId="0" applyFont="1" applyBorder="1"/>
    <xf numFmtId="0" fontId="15" fillId="0" borderId="14" xfId="0" applyFont="1" applyBorder="1"/>
    <xf numFmtId="164" fontId="14" fillId="0" borderId="11" xfId="0" applyNumberFormat="1" applyFont="1" applyBorder="1" applyAlignment="1">
      <alignment horizontal="center" vertical="center" wrapText="1"/>
    </xf>
    <xf numFmtId="164" fontId="14" fillId="0" borderId="31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center"/>
    </xf>
    <xf numFmtId="0" fontId="14" fillId="0" borderId="16" xfId="0" applyFont="1" applyBorder="1" applyAlignment="1">
      <alignment vertical="top"/>
    </xf>
    <xf numFmtId="0" fontId="35" fillId="0" borderId="0" xfId="60"/>
    <xf numFmtId="0" fontId="3" fillId="0" borderId="0" xfId="60" applyFont="1"/>
    <xf numFmtId="0" fontId="4" fillId="8" borderId="0" xfId="43" applyFont="1" applyFill="1"/>
    <xf numFmtId="0" fontId="38" fillId="8" borderId="0" xfId="43" applyFont="1" applyFill="1"/>
    <xf numFmtId="0" fontId="38" fillId="9" borderId="0" xfId="43" applyFont="1" applyFill="1"/>
    <xf numFmtId="0" fontId="38" fillId="10" borderId="0" xfId="43" applyFont="1" applyFill="1"/>
    <xf numFmtId="0" fontId="38" fillId="11" borderId="0" xfId="43" applyFont="1" applyFill="1"/>
    <xf numFmtId="0" fontId="38" fillId="12" borderId="0" xfId="43" applyFont="1" applyFill="1"/>
    <xf numFmtId="0" fontId="38" fillId="13" borderId="0" xfId="43" applyFont="1" applyFill="1"/>
    <xf numFmtId="14" fontId="3" fillId="0" borderId="0" xfId="60" applyNumberFormat="1" applyFont="1"/>
    <xf numFmtId="173" fontId="35" fillId="0" borderId="0" xfId="60" applyNumberFormat="1"/>
    <xf numFmtId="0" fontId="3" fillId="4" borderId="0" xfId="60" applyFont="1" applyFill="1"/>
    <xf numFmtId="173" fontId="35" fillId="4" borderId="0" xfId="60" applyNumberFormat="1" applyFill="1"/>
    <xf numFmtId="0" fontId="35" fillId="4" borderId="0" xfId="60" applyFill="1"/>
    <xf numFmtId="2" fontId="35" fillId="0" borderId="0" xfId="60" applyNumberFormat="1"/>
    <xf numFmtId="0" fontId="3" fillId="0" borderId="0" xfId="23" applyFont="1"/>
    <xf numFmtId="0" fontId="4" fillId="0" borderId="0" xfId="23"/>
    <xf numFmtId="0" fontId="14" fillId="0" borderId="0" xfId="23" applyFont="1"/>
    <xf numFmtId="0" fontId="39" fillId="0" borderId="0" xfId="23" applyFont="1"/>
    <xf numFmtId="0" fontId="4" fillId="0" borderId="37" xfId="23" applyBorder="1"/>
    <xf numFmtId="0" fontId="4" fillId="0" borderId="21" xfId="23" applyBorder="1"/>
    <xf numFmtId="0" fontId="4" fillId="0" borderId="38" xfId="23" applyBorder="1"/>
    <xf numFmtId="0" fontId="4" fillId="0" borderId="39" xfId="23" applyBorder="1"/>
    <xf numFmtId="0" fontId="4" fillId="0" borderId="0" xfId="23" applyBorder="1" applyAlignment="1">
      <alignment horizontal="right"/>
    </xf>
    <xf numFmtId="0" fontId="4" fillId="0" borderId="0" xfId="23" applyBorder="1"/>
    <xf numFmtId="0" fontId="4" fillId="0" borderId="40" xfId="23" applyBorder="1"/>
    <xf numFmtId="0" fontId="40" fillId="0" borderId="40" xfId="23" applyFont="1" applyBorder="1" applyAlignment="1">
      <alignment horizontal="center"/>
    </xf>
    <xf numFmtId="173" fontId="4" fillId="0" borderId="40" xfId="23" applyNumberFormat="1" applyBorder="1" applyAlignment="1">
      <alignment horizontal="center"/>
    </xf>
    <xf numFmtId="0" fontId="4" fillId="0" borderId="40" xfId="23" applyBorder="1" applyAlignment="1">
      <alignment horizontal="center"/>
    </xf>
    <xf numFmtId="173" fontId="35" fillId="0" borderId="0" xfId="60" applyNumberFormat="1" applyFill="1"/>
    <xf numFmtId="0" fontId="3" fillId="4" borderId="0" xfId="23" applyFont="1" applyFill="1" applyBorder="1" applyAlignment="1">
      <alignment horizontal="right"/>
    </xf>
    <xf numFmtId="10" fontId="3" fillId="4" borderId="40" xfId="5" applyNumberFormat="1" applyFont="1" applyFill="1" applyBorder="1" applyAlignment="1">
      <alignment horizontal="center"/>
    </xf>
    <xf numFmtId="0" fontId="4" fillId="0" borderId="41" xfId="23" applyBorder="1"/>
    <xf numFmtId="0" fontId="4" fillId="0" borderId="18" xfId="23" applyBorder="1"/>
    <xf numFmtId="0" fontId="4" fillId="0" borderId="42" xfId="23" applyBorder="1"/>
    <xf numFmtId="14" fontId="3" fillId="0" borderId="0" xfId="19" applyNumberFormat="1" applyFont="1"/>
    <xf numFmtId="173" fontId="4" fillId="0" borderId="0" xfId="23" applyNumberFormat="1" applyBorder="1"/>
    <xf numFmtId="2" fontId="15" fillId="0" borderId="0" xfId="0" applyNumberFormat="1" applyFont="1" applyFill="1" applyBorder="1"/>
    <xf numFmtId="0" fontId="28" fillId="0" borderId="14" xfId="34" applyFont="1" applyFill="1" applyBorder="1" applyAlignment="1"/>
    <xf numFmtId="167" fontId="16" fillId="0" borderId="13" xfId="34" applyNumberFormat="1" applyFont="1" applyFill="1" applyBorder="1"/>
    <xf numFmtId="44" fontId="13" fillId="4" borderId="8" xfId="36" applyFont="1" applyFill="1" applyBorder="1"/>
    <xf numFmtId="10" fontId="6" fillId="0" borderId="0" xfId="1" applyNumberFormat="1" applyFont="1" applyFill="1" applyBorder="1" applyAlignment="1">
      <alignment horizontal="right"/>
    </xf>
    <xf numFmtId="0" fontId="42" fillId="0" borderId="14" xfId="34" applyFont="1" applyBorder="1" applyAlignment="1"/>
    <xf numFmtId="0" fontId="46" fillId="0" borderId="14" xfId="34" applyFont="1" applyBorder="1" applyAlignment="1"/>
    <xf numFmtId="0" fontId="46" fillId="0" borderId="0" xfId="34" applyFont="1" applyFill="1" applyBorder="1" applyAlignment="1">
      <alignment horizontal="center"/>
    </xf>
    <xf numFmtId="0" fontId="47" fillId="0" borderId="0" xfId="34" applyFont="1" applyBorder="1" applyAlignment="1">
      <alignment horizontal="center"/>
    </xf>
    <xf numFmtId="0" fontId="47" fillId="0" borderId="0" xfId="34" applyFont="1" applyBorder="1"/>
    <xf numFmtId="0" fontId="42" fillId="0" borderId="14" xfId="34" applyFont="1" applyFill="1" applyBorder="1" applyAlignment="1"/>
    <xf numFmtId="43" fontId="46" fillId="0" borderId="0" xfId="55" applyFont="1" applyBorder="1" applyAlignment="1">
      <alignment horizontal="center"/>
    </xf>
    <xf numFmtId="166" fontId="42" fillId="0" borderId="14" xfId="37" applyNumberFormat="1" applyFont="1" applyFill="1" applyBorder="1" applyAlignment="1">
      <alignment wrapText="1"/>
    </xf>
    <xf numFmtId="0" fontId="47" fillId="0" borderId="0" xfId="34" applyFont="1" applyFill="1" applyBorder="1"/>
    <xf numFmtId="44" fontId="51" fillId="0" borderId="24" xfId="36" applyNumberFormat="1" applyFont="1" applyFill="1" applyBorder="1"/>
    <xf numFmtId="0" fontId="47" fillId="0" borderId="8" xfId="34" applyFont="1" applyFill="1" applyBorder="1"/>
    <xf numFmtId="0" fontId="45" fillId="0" borderId="0" xfId="0" applyFont="1" applyBorder="1"/>
    <xf numFmtId="164" fontId="28" fillId="0" borderId="0" xfId="34" applyNumberFormat="1" applyFont="1" applyBorder="1" applyAlignment="1">
      <alignment horizontal="center"/>
    </xf>
    <xf numFmtId="0" fontId="43" fillId="0" borderId="0" xfId="34" applyFont="1" applyFill="1" applyBorder="1" applyAlignment="1"/>
    <xf numFmtId="1" fontId="44" fillId="0" borderId="0" xfId="34" applyNumberFormat="1" applyFont="1" applyFill="1" applyBorder="1" applyAlignment="1">
      <alignment horizontal="right"/>
    </xf>
    <xf numFmtId="43" fontId="46" fillId="0" borderId="0" xfId="55" applyFont="1" applyFill="1" applyBorder="1" applyAlignment="1">
      <alignment horizontal="center"/>
    </xf>
    <xf numFmtId="0" fontId="42" fillId="0" borderId="24" xfId="34" applyFont="1" applyBorder="1" applyAlignment="1">
      <alignment horizontal="left"/>
    </xf>
    <xf numFmtId="0" fontId="46" fillId="0" borderId="24" xfId="34" applyFont="1" applyBorder="1" applyAlignment="1">
      <alignment horizontal="left"/>
    </xf>
    <xf numFmtId="0" fontId="46" fillId="0" borderId="24" xfId="34" applyFont="1" applyFill="1" applyBorder="1" applyAlignment="1">
      <alignment horizontal="left"/>
    </xf>
    <xf numFmtId="170" fontId="46" fillId="0" borderId="24" xfId="34" applyNumberFormat="1" applyFont="1" applyFill="1" applyBorder="1" applyAlignment="1">
      <alignment horizontal="left"/>
    </xf>
    <xf numFmtId="0" fontId="42" fillId="0" borderId="12" xfId="34" applyFont="1" applyBorder="1" applyAlignment="1">
      <alignment horizontal="center"/>
    </xf>
    <xf numFmtId="0" fontId="42" fillId="0" borderId="13" xfId="34" applyFont="1" applyBorder="1" applyAlignment="1">
      <alignment horizontal="center"/>
    </xf>
    <xf numFmtId="0" fontId="42" fillId="0" borderId="0" xfId="34" applyFont="1" applyFill="1" applyBorder="1" applyAlignment="1">
      <alignment horizontal="center"/>
    </xf>
    <xf numFmtId="0" fontId="42" fillId="0" borderId="23" xfId="34" applyFont="1" applyFill="1" applyBorder="1"/>
    <xf numFmtId="0" fontId="42" fillId="0" borderId="14" xfId="34" applyFont="1" applyFill="1" applyBorder="1"/>
    <xf numFmtId="0" fontId="0" fillId="0" borderId="13" xfId="0" applyBorder="1" applyAlignment="1">
      <alignment horizontal="center"/>
    </xf>
    <xf numFmtId="0" fontId="53" fillId="0" borderId="11" xfId="0" applyFont="1" applyBorder="1"/>
    <xf numFmtId="10" fontId="53" fillId="0" borderId="16" xfId="0" applyNumberFormat="1" applyFont="1" applyBorder="1" applyAlignment="1">
      <alignment horizontal="center"/>
    </xf>
    <xf numFmtId="9" fontId="54" fillId="0" borderId="8" xfId="34" applyNumberFormat="1" applyFont="1" applyFill="1" applyBorder="1" applyAlignment="1">
      <alignment horizontal="left" wrapText="1"/>
    </xf>
    <xf numFmtId="0" fontId="42" fillId="0" borderId="2" xfId="34" applyFont="1" applyBorder="1" applyAlignment="1">
      <alignment horizontal="left"/>
    </xf>
    <xf numFmtId="166" fontId="42" fillId="3" borderId="23" xfId="37" applyNumberFormat="1" applyFont="1" applyFill="1" applyBorder="1" applyAlignment="1">
      <alignment wrapText="1"/>
    </xf>
    <xf numFmtId="164" fontId="52" fillId="0" borderId="24" xfId="0" applyNumberFormat="1" applyFont="1" applyBorder="1" applyAlignment="1">
      <alignment horizontal="center" vertical="center"/>
    </xf>
    <xf numFmtId="169" fontId="46" fillId="0" borderId="24" xfId="34" applyNumberFormat="1" applyFont="1" applyBorder="1" applyAlignment="1">
      <alignment horizontal="center"/>
    </xf>
    <xf numFmtId="5" fontId="46" fillId="0" borderId="40" xfId="34" applyNumberFormat="1" applyFont="1" applyFill="1" applyBorder="1" applyAlignment="1">
      <alignment horizontal="center"/>
    </xf>
    <xf numFmtId="5" fontId="46" fillId="0" borderId="44" xfId="33" applyNumberFormat="1" applyFont="1" applyFill="1" applyBorder="1" applyAlignment="1">
      <alignment horizontal="center"/>
    </xf>
    <xf numFmtId="169" fontId="46" fillId="0" borderId="40" xfId="34" applyNumberFormat="1" applyFont="1" applyFill="1" applyBorder="1" applyAlignment="1">
      <alignment horizontal="center"/>
    </xf>
    <xf numFmtId="169" fontId="46" fillId="0" borderId="40" xfId="36" applyNumberFormat="1" applyFont="1" applyFill="1" applyBorder="1" applyAlignment="1">
      <alignment horizontal="center"/>
    </xf>
    <xf numFmtId="10" fontId="46" fillId="0" borderId="40" xfId="35" applyNumberFormat="1" applyFont="1" applyFill="1" applyBorder="1" applyAlignment="1">
      <alignment horizontal="center"/>
    </xf>
    <xf numFmtId="10" fontId="46" fillId="0" borderId="44" xfId="1" applyNumberFormat="1" applyFont="1" applyFill="1" applyBorder="1" applyAlignment="1">
      <alignment horizontal="center"/>
    </xf>
    <xf numFmtId="44" fontId="46" fillId="0" borderId="24" xfId="36" applyNumberFormat="1" applyFont="1" applyFill="1" applyBorder="1" applyAlignment="1">
      <alignment horizontal="center"/>
    </xf>
    <xf numFmtId="0" fontId="42" fillId="0" borderId="13" xfId="34" applyFont="1" applyFill="1" applyBorder="1" applyAlignment="1">
      <alignment horizontal="center"/>
    </xf>
    <xf numFmtId="0" fontId="50" fillId="0" borderId="13" xfId="34" applyFont="1" applyBorder="1" applyAlignment="1">
      <alignment horizontal="center"/>
    </xf>
    <xf numFmtId="0" fontId="42" fillId="0" borderId="11" xfId="34" applyFont="1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5" fontId="46" fillId="0" borderId="43" xfId="34" applyNumberFormat="1" applyFont="1" applyFill="1" applyBorder="1" applyAlignment="1">
      <alignment horizontal="center"/>
    </xf>
    <xf numFmtId="169" fontId="46" fillId="0" borderId="24" xfId="34" applyNumberFormat="1" applyFont="1" applyBorder="1" applyAlignment="1">
      <alignment horizontal="center" wrapText="1"/>
    </xf>
    <xf numFmtId="0" fontId="53" fillId="0" borderId="14" xfId="37" applyFont="1" applyFill="1" applyBorder="1"/>
    <xf numFmtId="0" fontId="15" fillId="0" borderId="0" xfId="0" applyFont="1" applyAlignment="1">
      <alignment horizontal="left" wrapText="1"/>
    </xf>
    <xf numFmtId="174" fontId="41" fillId="0" borderId="0" xfId="0" applyNumberFormat="1" applyFont="1" applyAlignment="1">
      <alignment horizontal="left" vertical="top"/>
    </xf>
    <xf numFmtId="0" fontId="41" fillId="0" borderId="0" xfId="0" applyFont="1" applyAlignment="1">
      <alignment horizontal="center"/>
    </xf>
    <xf numFmtId="0" fontId="0" fillId="0" borderId="0" xfId="0" applyAlignment="1">
      <alignment wrapText="1"/>
    </xf>
    <xf numFmtId="0" fontId="41" fillId="0" borderId="0" xfId="0" applyFont="1"/>
    <xf numFmtId="9" fontId="41" fillId="0" borderId="0" xfId="0" applyNumberFormat="1" applyFont="1" applyAlignment="1">
      <alignment horizontal="center"/>
    </xf>
    <xf numFmtId="0" fontId="41" fillId="0" borderId="0" xfId="0" applyFont="1" applyAlignment="1">
      <alignment horizontal="left" wrapText="1"/>
    </xf>
    <xf numFmtId="0" fontId="62" fillId="0" borderId="2" xfId="0" applyFont="1" applyBorder="1"/>
    <xf numFmtId="167" fontId="62" fillId="0" borderId="50" xfId="0" applyNumberFormat="1" applyFont="1" applyBorder="1" applyAlignment="1">
      <alignment horizontal="center"/>
    </xf>
    <xf numFmtId="0" fontId="62" fillId="0" borderId="3" xfId="0" applyFont="1" applyBorder="1"/>
    <xf numFmtId="167" fontId="0" fillId="0" borderId="51" xfId="0" applyNumberFormat="1" applyBorder="1"/>
    <xf numFmtId="167" fontId="0" fillId="0" borderId="0" xfId="0" applyNumberFormat="1"/>
    <xf numFmtId="0" fontId="62" fillId="0" borderId="14" xfId="0" applyFont="1" applyBorder="1"/>
    <xf numFmtId="169" fontId="62" fillId="0" borderId="0" xfId="0" applyNumberFormat="1" applyFont="1" applyBorder="1" applyAlignment="1">
      <alignment horizontal="center"/>
    </xf>
    <xf numFmtId="169" fontId="62" fillId="0" borderId="0" xfId="0" applyNumberFormat="1" applyFont="1" applyFill="1" applyBorder="1" applyAlignment="1">
      <alignment horizontal="center"/>
    </xf>
    <xf numFmtId="0" fontId="62" fillId="0" borderId="0" xfId="0" applyFont="1" applyBorder="1"/>
    <xf numFmtId="169" fontId="0" fillId="0" borderId="52" xfId="0" applyNumberFormat="1" applyBorder="1"/>
    <xf numFmtId="167" fontId="62" fillId="0" borderId="50" xfId="0" applyNumberFormat="1" applyFont="1" applyFill="1" applyBorder="1" applyAlignment="1">
      <alignment horizontal="center"/>
    </xf>
    <xf numFmtId="0" fontId="62" fillId="0" borderId="23" xfId="0" applyFont="1" applyBorder="1"/>
    <xf numFmtId="169" fontId="62" fillId="0" borderId="7" xfId="0" applyNumberFormat="1" applyFont="1" applyBorder="1" applyAlignment="1">
      <alignment horizontal="center"/>
    </xf>
    <xf numFmtId="169" fontId="62" fillId="0" borderId="7" xfId="0" applyNumberFormat="1" applyFont="1" applyFill="1" applyBorder="1" applyAlignment="1">
      <alignment horizontal="center"/>
    </xf>
    <xf numFmtId="0" fontId="62" fillId="0" borderId="7" xfId="0" applyFont="1" applyBorder="1"/>
    <xf numFmtId="0" fontId="62" fillId="0" borderId="3" xfId="0" applyFont="1" applyFill="1" applyBorder="1"/>
    <xf numFmtId="167" fontId="60" fillId="0" borderId="0" xfId="0" applyNumberFormat="1" applyFont="1"/>
    <xf numFmtId="0" fontId="62" fillId="0" borderId="14" xfId="0" applyFont="1" applyBorder="1" applyAlignment="1">
      <alignment wrapText="1"/>
    </xf>
    <xf numFmtId="167" fontId="62" fillId="0" borderId="18" xfId="0" applyNumberFormat="1" applyFont="1" applyBorder="1" applyAlignment="1">
      <alignment horizontal="center"/>
    </xf>
    <xf numFmtId="167" fontId="62" fillId="0" borderId="18" xfId="0" applyNumberFormat="1" applyFont="1" applyFill="1" applyBorder="1" applyAlignment="1">
      <alignment horizontal="center"/>
    </xf>
    <xf numFmtId="167" fontId="0" fillId="0" borderId="53" xfId="0" applyNumberFormat="1" applyBorder="1"/>
    <xf numFmtId="0" fontId="62" fillId="0" borderId="0" xfId="0" applyFont="1" applyAlignment="1">
      <alignment horizontal="right"/>
    </xf>
    <xf numFmtId="169" fontId="62" fillId="0" borderId="0" xfId="0" applyNumberFormat="1" applyFont="1" applyAlignment="1">
      <alignment horizontal="center"/>
    </xf>
    <xf numFmtId="0" fontId="62" fillId="0" borderId="0" xfId="0" applyFont="1"/>
    <xf numFmtId="10" fontId="62" fillId="0" borderId="0" xfId="0" applyNumberFormat="1" applyFont="1" applyAlignment="1">
      <alignment horizontal="center"/>
    </xf>
    <xf numFmtId="0" fontId="62" fillId="0" borderId="0" xfId="0" applyFont="1" applyFill="1" applyAlignment="1">
      <alignment horizontal="right"/>
    </xf>
    <xf numFmtId="164" fontId="28" fillId="37" borderId="0" xfId="34" applyNumberFormat="1" applyFont="1" applyFill="1" applyBorder="1" applyAlignment="1">
      <alignment horizontal="center"/>
    </xf>
    <xf numFmtId="0" fontId="36" fillId="7" borderId="3" xfId="295" applyFont="1" applyFill="1" applyBorder="1"/>
    <xf numFmtId="0" fontId="37" fillId="7" borderId="4" xfId="295" applyFont="1" applyFill="1" applyBorder="1"/>
    <xf numFmtId="0" fontId="84" fillId="0" borderId="0" xfId="295"/>
    <xf numFmtId="0" fontId="3" fillId="7" borderId="24" xfId="295" applyFont="1" applyFill="1" applyBorder="1"/>
    <xf numFmtId="0" fontId="9" fillId="7" borderId="7" xfId="295" applyFont="1" applyFill="1" applyBorder="1"/>
    <xf numFmtId="0" fontId="3" fillId="7" borderId="8" xfId="295" applyFont="1" applyFill="1" applyBorder="1"/>
    <xf numFmtId="0" fontId="3" fillId="0" borderId="0" xfId="295" applyFont="1"/>
    <xf numFmtId="0" fontId="38" fillId="38" borderId="0" xfId="43" applyFont="1" applyFill="1"/>
    <xf numFmtId="14" fontId="3" fillId="0" borderId="0" xfId="295" applyNumberFormat="1" applyFont="1"/>
    <xf numFmtId="173" fontId="84" fillId="0" borderId="0" xfId="295" applyNumberFormat="1"/>
    <xf numFmtId="2" fontId="84" fillId="0" borderId="0" xfId="295" applyNumberFormat="1"/>
    <xf numFmtId="173" fontId="84" fillId="0" borderId="67" xfId="295" applyNumberFormat="1" applyBorder="1"/>
    <xf numFmtId="0" fontId="4" fillId="0" borderId="68" xfId="23" applyBorder="1"/>
    <xf numFmtId="49" fontId="85" fillId="0" borderId="24" xfId="0" applyNumberFormat="1" applyFont="1" applyFill="1" applyBorder="1" applyAlignment="1">
      <alignment horizontal="center"/>
    </xf>
    <xf numFmtId="5" fontId="7" fillId="0" borderId="71" xfId="34" applyNumberFormat="1" applyFont="1" applyBorder="1"/>
    <xf numFmtId="42" fontId="7" fillId="0" borderId="22" xfId="34" applyNumberFormat="1" applyFont="1" applyBorder="1"/>
    <xf numFmtId="42" fontId="13" fillId="0" borderId="30" xfId="34" applyNumberFormat="1" applyFont="1" applyBorder="1"/>
    <xf numFmtId="10" fontId="46" fillId="0" borderId="40" xfId="1" applyNumberFormat="1" applyFont="1" applyFill="1" applyBorder="1" applyAlignment="1">
      <alignment horizontal="center"/>
    </xf>
    <xf numFmtId="0" fontId="31" fillId="3" borderId="24" xfId="0" applyFont="1" applyFill="1" applyBorder="1" applyAlignment="1">
      <alignment horizontal="center" wrapText="1"/>
    </xf>
    <xf numFmtId="10" fontId="31" fillId="0" borderId="0" xfId="35" applyNumberFormat="1" applyFont="1" applyFill="1" applyBorder="1"/>
    <xf numFmtId="44" fontId="27" fillId="0" borderId="24" xfId="34" applyNumberFormat="1" applyFont="1" applyBorder="1"/>
    <xf numFmtId="5" fontId="30" fillId="0" borderId="71" xfId="34" applyNumberFormat="1" applyFont="1" applyFill="1" applyBorder="1"/>
    <xf numFmtId="42" fontId="15" fillId="0" borderId="0" xfId="0" applyNumberFormat="1" applyFont="1"/>
    <xf numFmtId="0" fontId="87" fillId="0" borderId="11" xfId="34" applyFont="1" applyBorder="1" applyAlignment="1">
      <alignment horizontal="left"/>
    </xf>
    <xf numFmtId="0" fontId="9" fillId="0" borderId="12" xfId="34" applyFont="1" applyFill="1" applyBorder="1" applyAlignment="1">
      <alignment horizontal="center"/>
    </xf>
    <xf numFmtId="2" fontId="86" fillId="0" borderId="12" xfId="34" applyNumberFormat="1" applyFont="1" applyBorder="1"/>
    <xf numFmtId="0" fontId="86" fillId="0" borderId="12" xfId="34" applyFont="1" applyBorder="1"/>
    <xf numFmtId="3" fontId="86" fillId="0" borderId="13" xfId="34" applyNumberFormat="1" applyFont="1" applyBorder="1"/>
    <xf numFmtId="0" fontId="88" fillId="0" borderId="14" xfId="0" applyFont="1" applyBorder="1"/>
    <xf numFmtId="0" fontId="88" fillId="0" borderId="0" xfId="34" applyFont="1" applyBorder="1"/>
    <xf numFmtId="0" fontId="86" fillId="0" borderId="0" xfId="34" applyFont="1" applyBorder="1"/>
    <xf numFmtId="3" fontId="86" fillId="0" borderId="24" xfId="34" applyNumberFormat="1" applyFont="1" applyBorder="1"/>
    <xf numFmtId="0" fontId="86" fillId="0" borderId="19" xfId="34" applyFont="1" applyBorder="1"/>
    <xf numFmtId="0" fontId="86" fillId="0" borderId="18" xfId="34" applyFont="1" applyBorder="1"/>
    <xf numFmtId="0" fontId="86" fillId="0" borderId="18" xfId="34" applyFont="1" applyBorder="1" applyAlignment="1">
      <alignment horizontal="center"/>
    </xf>
    <xf numFmtId="0" fontId="86" fillId="0" borderId="17" xfId="34" applyFont="1" applyBorder="1" applyAlignment="1">
      <alignment horizontal="center"/>
    </xf>
    <xf numFmtId="5" fontId="9" fillId="0" borderId="14" xfId="34" applyNumberFormat="1" applyFont="1" applyBorder="1" applyAlignment="1"/>
    <xf numFmtId="44" fontId="13" fillId="0" borderId="24" xfId="34" applyNumberFormat="1" applyFont="1" applyBorder="1"/>
    <xf numFmtId="0" fontId="15" fillId="0" borderId="0" xfId="34" applyFont="1" applyBorder="1" applyAlignment="1">
      <alignment horizontal="center"/>
    </xf>
    <xf numFmtId="10" fontId="15" fillId="0" borderId="0" xfId="1" applyNumberFormat="1" applyFont="1" applyFill="1" applyBorder="1"/>
    <xf numFmtId="10" fontId="3" fillId="0" borderId="0" xfId="1" applyNumberFormat="1" applyFont="1" applyFill="1" applyBorder="1" applyAlignment="1"/>
    <xf numFmtId="10" fontId="7" fillId="0" borderId="0" xfId="1" applyNumberFormat="1" applyFont="1" applyBorder="1" applyAlignment="1">
      <alignment horizontal="right"/>
    </xf>
    <xf numFmtId="3" fontId="13" fillId="0" borderId="24" xfId="51" applyNumberFormat="1" applyFont="1" applyBorder="1" applyAlignment="1">
      <alignment horizontal="right"/>
    </xf>
    <xf numFmtId="168" fontId="13" fillId="0" borderId="27" xfId="296" applyNumberFormat="1" applyFont="1" applyBorder="1" applyAlignment="1">
      <alignment horizontal="right"/>
    </xf>
    <xf numFmtId="175" fontId="7" fillId="0" borderId="0" xfId="51" applyNumberFormat="1" applyFont="1" applyFill="1" applyBorder="1"/>
    <xf numFmtId="175" fontId="15" fillId="0" borderId="0" xfId="0" applyNumberFormat="1" applyFont="1"/>
    <xf numFmtId="44" fontId="7" fillId="0" borderId="0" xfId="13" applyNumberFormat="1" applyFont="1" applyBorder="1" applyAlignment="1">
      <alignment horizontal="right"/>
    </xf>
    <xf numFmtId="44" fontId="3" fillId="0" borderId="0" xfId="53" applyFont="1" applyFill="1" applyBorder="1" applyAlignment="1"/>
    <xf numFmtId="44" fontId="13" fillId="0" borderId="0" xfId="51" applyNumberFormat="1" applyFont="1" applyFill="1" applyBorder="1"/>
    <xf numFmtId="44" fontId="7" fillId="0" borderId="7" xfId="53" applyFont="1" applyBorder="1"/>
    <xf numFmtId="44" fontId="13" fillId="4" borderId="8" xfId="53" applyFont="1" applyFill="1" applyBorder="1" applyAlignment="1">
      <alignment horizontal="right"/>
    </xf>
    <xf numFmtId="0" fontId="7" fillId="0" borderId="19" xfId="51" applyFont="1" applyBorder="1"/>
    <xf numFmtId="0" fontId="7" fillId="0" borderId="18" xfId="51" applyFont="1" applyBorder="1"/>
    <xf numFmtId="44" fontId="7" fillId="0" borderId="17" xfId="13" applyFont="1" applyBorder="1" applyAlignment="1">
      <alignment horizontal="right"/>
    </xf>
    <xf numFmtId="0" fontId="16" fillId="0" borderId="23" xfId="51" applyFont="1" applyBorder="1"/>
    <xf numFmtId="0" fontId="15" fillId="0" borderId="7" xfId="51" applyFont="1" applyBorder="1"/>
    <xf numFmtId="10" fontId="4" fillId="0" borderId="7" xfId="51" applyNumberFormat="1" applyFont="1" applyFill="1" applyBorder="1"/>
    <xf numFmtId="167" fontId="16" fillId="4" borderId="8" xfId="51" applyNumberFormat="1" applyFont="1" applyFill="1" applyBorder="1" applyAlignment="1">
      <alignment horizontal="right"/>
    </xf>
    <xf numFmtId="168" fontId="15" fillId="0" borderId="0" xfId="0" applyNumberFormat="1" applyFont="1"/>
    <xf numFmtId="0" fontId="46" fillId="39" borderId="0" xfId="34" applyFont="1" applyFill="1" applyBorder="1" applyAlignment="1">
      <alignment horizontal="center"/>
    </xf>
    <xf numFmtId="44" fontId="32" fillId="0" borderId="0" xfId="1" applyNumberFormat="1" applyFont="1" applyBorder="1"/>
    <xf numFmtId="176" fontId="7" fillId="0" borderId="0" xfId="34" applyNumberFormat="1" applyFont="1" applyFill="1" applyBorder="1"/>
    <xf numFmtId="172" fontId="7" fillId="0" borderId="0" xfId="34" applyNumberFormat="1" applyFont="1" applyFill="1" applyBorder="1"/>
    <xf numFmtId="171" fontId="13" fillId="0" borderId="0" xfId="51" applyNumberFormat="1" applyFont="1" applyFill="1" applyBorder="1"/>
    <xf numFmtId="0" fontId="6" fillId="0" borderId="0" xfId="34" applyFont="1" applyFill="1" applyBorder="1" applyAlignment="1">
      <alignment horizontal="right"/>
    </xf>
    <xf numFmtId="0" fontId="37" fillId="7" borderId="0" xfId="295" applyFont="1" applyFill="1"/>
    <xf numFmtId="16" fontId="84" fillId="0" borderId="0" xfId="295" applyNumberFormat="1"/>
    <xf numFmtId="0" fontId="4" fillId="0" borderId="0" xfId="23" applyAlignment="1">
      <alignment horizontal="right"/>
    </xf>
    <xf numFmtId="166" fontId="84" fillId="0" borderId="0" xfId="295" applyNumberFormat="1"/>
    <xf numFmtId="0" fontId="3" fillId="4" borderId="0" xfId="23" applyFont="1" applyFill="1" applyAlignment="1">
      <alignment horizontal="right"/>
    </xf>
    <xf numFmtId="0" fontId="4" fillId="9" borderId="0" xfId="23" applyFill="1"/>
    <xf numFmtId="5" fontId="46" fillId="4" borderId="40" xfId="34" applyNumberFormat="1" applyFont="1" applyFill="1" applyBorder="1" applyAlignment="1">
      <alignment horizontal="center"/>
    </xf>
    <xf numFmtId="169" fontId="46" fillId="4" borderId="24" xfId="34" applyNumberFormat="1" applyFont="1" applyFill="1" applyBorder="1" applyAlignment="1">
      <alignment horizontal="center"/>
    </xf>
    <xf numFmtId="176" fontId="7" fillId="0" borderId="0" xfId="34" applyNumberFormat="1" applyFont="1" applyBorder="1"/>
    <xf numFmtId="177" fontId="7" fillId="0" borderId="0" xfId="34" applyNumberFormat="1" applyFont="1" applyBorder="1"/>
    <xf numFmtId="164" fontId="28" fillId="0" borderId="0" xfId="34" applyNumberFormat="1" applyFont="1" applyAlignment="1">
      <alignment horizontal="center"/>
    </xf>
    <xf numFmtId="0" fontId="42" fillId="0" borderId="14" xfId="34" applyFont="1" applyBorder="1"/>
    <xf numFmtId="0" fontId="42" fillId="0" borderId="0" xfId="34" applyFont="1" applyAlignment="1">
      <alignment horizontal="center"/>
    </xf>
    <xf numFmtId="0" fontId="46" fillId="0" borderId="0" xfId="34" applyFont="1" applyAlignment="1">
      <alignment horizontal="center"/>
    </xf>
    <xf numFmtId="0" fontId="46" fillId="0" borderId="14" xfId="34" applyFont="1" applyBorder="1"/>
    <xf numFmtId="0" fontId="45" fillId="0" borderId="0" xfId="0" applyFont="1"/>
    <xf numFmtId="5" fontId="46" fillId="0" borderId="43" xfId="34" applyNumberFormat="1" applyFont="1" applyBorder="1" applyAlignment="1">
      <alignment horizontal="center"/>
    </xf>
    <xf numFmtId="5" fontId="46" fillId="0" borderId="40" xfId="34" applyNumberFormat="1" applyFont="1" applyBorder="1" applyAlignment="1">
      <alignment horizontal="center"/>
    </xf>
    <xf numFmtId="0" fontId="53" fillId="0" borderId="14" xfId="37" applyFont="1" applyBorder="1"/>
    <xf numFmtId="166" fontId="42" fillId="0" borderId="14" xfId="37" applyNumberFormat="1" applyFont="1" applyBorder="1" applyAlignment="1">
      <alignment wrapText="1"/>
    </xf>
    <xf numFmtId="169" fontId="46" fillId="0" borderId="40" xfId="34" applyNumberFormat="1" applyFont="1" applyBorder="1" applyAlignment="1">
      <alignment horizontal="center"/>
    </xf>
    <xf numFmtId="0" fontId="42" fillId="0" borderId="23" xfId="34" applyFont="1" applyBorder="1"/>
    <xf numFmtId="0" fontId="0" fillId="0" borderId="12" xfId="0" applyBorder="1"/>
    <xf numFmtId="167" fontId="16" fillId="4" borderId="13" xfId="34" applyNumberFormat="1" applyFont="1" applyFill="1" applyBorder="1"/>
    <xf numFmtId="5" fontId="46" fillId="0" borderId="0" xfId="34" applyNumberFormat="1" applyFont="1" applyBorder="1" applyAlignment="1">
      <alignment horizontal="center"/>
    </xf>
    <xf numFmtId="169" fontId="46" fillId="0" borderId="0" xfId="34" applyNumberFormat="1" applyFont="1" applyBorder="1" applyAlignment="1">
      <alignment horizontal="center"/>
    </xf>
    <xf numFmtId="10" fontId="46" fillId="0" borderId="7" xfId="1" applyNumberFormat="1" applyFont="1" applyFill="1" applyBorder="1" applyAlignment="1">
      <alignment horizontal="center"/>
    </xf>
    <xf numFmtId="10" fontId="53" fillId="0" borderId="8" xfId="0" applyNumberFormat="1" applyFont="1" applyBorder="1" applyAlignment="1">
      <alignment horizontal="center"/>
    </xf>
    <xf numFmtId="0" fontId="60" fillId="0" borderId="12" xfId="0" applyFont="1" applyBorder="1" applyAlignment="1">
      <alignment horizontal="center"/>
    </xf>
    <xf numFmtId="10" fontId="0" fillId="0" borderId="0" xfId="1" applyNumberFormat="1" applyFont="1"/>
    <xf numFmtId="10" fontId="46" fillId="0" borderId="0" xfId="1" applyNumberFormat="1" applyFont="1" applyBorder="1" applyAlignment="1">
      <alignment horizontal="center"/>
    </xf>
    <xf numFmtId="0" fontId="89" fillId="0" borderId="72" xfId="0" applyFont="1" applyBorder="1"/>
    <xf numFmtId="0" fontId="60" fillId="0" borderId="3" xfId="0" applyFont="1" applyBorder="1" applyAlignment="1">
      <alignment horizontal="center"/>
    </xf>
    <xf numFmtId="0" fontId="60" fillId="0" borderId="3" xfId="0" applyFont="1" applyBorder="1"/>
    <xf numFmtId="0" fontId="60" fillId="0" borderId="4" xfId="0" applyFont="1" applyBorder="1"/>
    <xf numFmtId="0" fontId="60" fillId="0" borderId="14" xfId="0" applyFont="1" applyBorder="1"/>
    <xf numFmtId="0" fontId="60" fillId="0" borderId="0" xfId="0" applyFont="1" applyBorder="1" applyAlignment="1">
      <alignment horizontal="center"/>
    </xf>
    <xf numFmtId="0" fontId="60" fillId="0" borderId="0" xfId="0" applyFont="1" applyBorder="1"/>
    <xf numFmtId="0" fontId="60" fillId="0" borderId="24" xfId="0" applyFont="1" applyBorder="1"/>
    <xf numFmtId="0" fontId="60" fillId="0" borderId="23" xfId="0" applyFont="1" applyBorder="1"/>
    <xf numFmtId="0" fontId="60" fillId="0" borderId="7" xfId="0" applyFont="1" applyBorder="1" applyAlignment="1">
      <alignment horizontal="center"/>
    </xf>
    <xf numFmtId="0" fontId="60" fillId="0" borderId="7" xfId="0" applyFont="1" applyBorder="1"/>
    <xf numFmtId="0" fontId="60" fillId="0" borderId="8" xfId="0" applyFont="1" applyBorder="1"/>
    <xf numFmtId="6" fontId="4" fillId="0" borderId="0" xfId="37" applyNumberFormat="1" applyFont="1" applyFill="1" applyBorder="1" applyAlignment="1">
      <alignment wrapText="1"/>
    </xf>
    <xf numFmtId="6" fontId="15" fillId="0" borderId="0" xfId="0" applyNumberFormat="1" applyFont="1" applyFill="1" applyBorder="1"/>
    <xf numFmtId="0" fontId="0" fillId="0" borderId="5" xfId="0" applyBorder="1" applyAlignment="1">
      <alignment wrapText="1"/>
    </xf>
    <xf numFmtId="0" fontId="0" fillId="0" borderId="5" xfId="0" applyBorder="1"/>
    <xf numFmtId="8" fontId="4" fillId="0" borderId="5" xfId="247" applyNumberFormat="1" applyFont="1" applyBorder="1"/>
    <xf numFmtId="0" fontId="0" fillId="0" borderId="5" xfId="247" applyFont="1" applyBorder="1" applyAlignment="1">
      <alignment wrapText="1"/>
    </xf>
    <xf numFmtId="8" fontId="4" fillId="0" borderId="5" xfId="247" applyNumberFormat="1" applyFont="1" applyBorder="1" applyAlignment="1">
      <alignment horizontal="center"/>
    </xf>
    <xf numFmtId="0" fontId="5" fillId="0" borderId="5" xfId="297" applyBorder="1"/>
    <xf numFmtId="8" fontId="7" fillId="0" borderId="5" xfId="247" applyNumberFormat="1" applyFont="1" applyBorder="1"/>
    <xf numFmtId="0" fontId="1" fillId="0" borderId="5" xfId="247" applyBorder="1" applyAlignment="1">
      <alignment horizontal="center"/>
    </xf>
    <xf numFmtId="167" fontId="91" fillId="0" borderId="5" xfId="19" applyNumberFormat="1" applyFont="1" applyBorder="1" applyAlignment="1">
      <alignment horizontal="center" wrapText="1"/>
    </xf>
    <xf numFmtId="0" fontId="92" fillId="0" borderId="5" xfId="299" applyFont="1" applyBorder="1" applyAlignment="1">
      <alignment horizontal="center" vertical="center" wrapText="1" readingOrder="1"/>
    </xf>
    <xf numFmtId="0" fontId="91" fillId="0" borderId="5" xfId="19" applyFont="1" applyBorder="1"/>
    <xf numFmtId="49" fontId="91" fillId="0" borderId="5" xfId="19" applyNumberFormat="1" applyFont="1" applyBorder="1" applyAlignment="1">
      <alignment horizontal="center" vertical="center"/>
    </xf>
    <xf numFmtId="167" fontId="91" fillId="0" borderId="5" xfId="149" applyNumberFormat="1" applyFont="1" applyFill="1" applyBorder="1" applyAlignment="1">
      <alignment horizontal="center" wrapText="1"/>
    </xf>
    <xf numFmtId="49" fontId="91" fillId="0" borderId="5" xfId="19" applyNumberFormat="1" applyFont="1" applyBorder="1" applyAlignment="1">
      <alignment horizontal="center"/>
    </xf>
    <xf numFmtId="167" fontId="1" fillId="0" borderId="5" xfId="300" applyNumberFormat="1" applyBorder="1" applyAlignment="1">
      <alignment horizontal="center"/>
    </xf>
    <xf numFmtId="49" fontId="91" fillId="0" borderId="5" xfId="19" applyNumberFormat="1" applyFont="1" applyBorder="1" applyAlignment="1">
      <alignment horizontal="center" vertical="center" wrapText="1"/>
    </xf>
    <xf numFmtId="0" fontId="91" fillId="0" borderId="5" xfId="19" applyFont="1" applyBorder="1" applyAlignment="1">
      <alignment wrapText="1"/>
    </xf>
    <xf numFmtId="0" fontId="91" fillId="0" borderId="5" xfId="19" applyFont="1" applyBorder="1" applyAlignment="1">
      <alignment horizontal="center"/>
    </xf>
    <xf numFmtId="49" fontId="91" fillId="0" borderId="5" xfId="19" applyNumberFormat="1" applyFont="1" applyBorder="1" applyAlignment="1">
      <alignment horizontal="center" wrapText="1"/>
    </xf>
    <xf numFmtId="8" fontId="92" fillId="0" borderId="5" xfId="299" applyNumberFormat="1" applyFont="1" applyBorder="1" applyAlignment="1">
      <alignment horizontal="center" wrapText="1" readingOrder="1"/>
    </xf>
    <xf numFmtId="0" fontId="92" fillId="0" borderId="5" xfId="299" applyFont="1" applyBorder="1" applyAlignment="1">
      <alignment horizontal="left" wrapText="1" readingOrder="1"/>
    </xf>
    <xf numFmtId="0" fontId="92" fillId="0" borderId="5" xfId="299" applyFont="1" applyBorder="1" applyAlignment="1">
      <alignment horizontal="left" wrapText="1" indent="2" readingOrder="1"/>
    </xf>
    <xf numFmtId="167" fontId="5" fillId="0" borderId="5" xfId="299" applyNumberFormat="1" applyBorder="1" applyAlignment="1">
      <alignment horizontal="center"/>
    </xf>
    <xf numFmtId="0" fontId="93" fillId="40" borderId="73" xfId="299" applyFont="1" applyFill="1" applyBorder="1" applyAlignment="1">
      <alignment horizontal="center" vertical="center" wrapText="1" readingOrder="1"/>
    </xf>
    <xf numFmtId="0" fontId="93" fillId="40" borderId="73" xfId="299" applyFont="1" applyFill="1" applyBorder="1" applyAlignment="1">
      <alignment horizontal="center" vertical="center" wrapText="1"/>
    </xf>
    <xf numFmtId="0" fontId="93" fillId="40" borderId="74" xfId="299" applyFont="1" applyFill="1" applyBorder="1" applyAlignment="1">
      <alignment horizontal="center" wrapText="1" readingOrder="1"/>
    </xf>
    <xf numFmtId="0" fontId="0" fillId="0" borderId="5" xfId="0" applyBorder="1" applyAlignment="1">
      <alignment horizontal="center" wrapText="1"/>
    </xf>
    <xf numFmtId="44" fontId="0" fillId="0" borderId="5" xfId="0" applyNumberFormat="1" applyBorder="1"/>
    <xf numFmtId="0" fontId="94" fillId="0" borderId="5" xfId="19" applyFont="1" applyBorder="1"/>
    <xf numFmtId="0" fontId="13" fillId="0" borderId="5" xfId="297" applyFont="1" applyBorder="1"/>
    <xf numFmtId="0" fontId="82" fillId="0" borderId="5" xfId="298" applyFont="1" applyBorder="1" applyAlignment="1">
      <alignment horizontal="left" wrapText="1" readingOrder="1"/>
    </xf>
    <xf numFmtId="0" fontId="82" fillId="0" borderId="5" xfId="297" applyFont="1" applyBorder="1"/>
    <xf numFmtId="8" fontId="0" fillId="0" borderId="5" xfId="0" applyNumberFormat="1" applyBorder="1"/>
    <xf numFmtId="8" fontId="3" fillId="0" borderId="5" xfId="247" applyNumberFormat="1" applyFont="1" applyBorder="1"/>
    <xf numFmtId="10" fontId="0" fillId="0" borderId="5" xfId="1" applyNumberFormat="1" applyFont="1" applyBorder="1" applyAlignment="1">
      <alignment wrapText="1"/>
    </xf>
    <xf numFmtId="8" fontId="4" fillId="0" borderId="0" xfId="247" applyNumberFormat="1" applyFont="1" applyFill="1" applyBorder="1"/>
    <xf numFmtId="49" fontId="91" fillId="0" borderId="0" xfId="19" applyNumberFormat="1" applyFont="1" applyFill="1" applyBorder="1" applyAlignment="1">
      <alignment horizontal="center" vertical="center"/>
    </xf>
    <xf numFmtId="8" fontId="4" fillId="0" borderId="0" xfId="247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179" fontId="7" fillId="0" borderId="0" xfId="34" applyNumberFormat="1" applyFont="1" applyFill="1" applyBorder="1"/>
    <xf numFmtId="172" fontId="7" fillId="0" borderId="0" xfId="34" applyNumberFormat="1" applyFont="1" applyBorder="1"/>
    <xf numFmtId="10" fontId="13" fillId="0" borderId="0" xfId="1" applyNumberFormat="1" applyFont="1" applyFill="1" applyBorder="1"/>
    <xf numFmtId="0" fontId="3" fillId="0" borderId="14" xfId="34" applyFont="1" applyFill="1" applyBorder="1" applyAlignment="1"/>
    <xf numFmtId="0" fontId="3" fillId="0" borderId="14" xfId="51" applyFont="1" applyFill="1" applyBorder="1" applyAlignment="1"/>
    <xf numFmtId="44" fontId="7" fillId="4" borderId="30" xfId="13" applyNumberFormat="1" applyFont="1" applyFill="1" applyBorder="1" applyAlignment="1">
      <alignment horizontal="right"/>
    </xf>
    <xf numFmtId="2" fontId="15" fillId="0" borderId="0" xfId="0" applyNumberFormat="1" applyFont="1"/>
    <xf numFmtId="0" fontId="98" fillId="0" borderId="0" xfId="301" applyFont="1"/>
    <xf numFmtId="0" fontId="97" fillId="0" borderId="0" xfId="301"/>
    <xf numFmtId="0" fontId="9" fillId="0" borderId="0" xfId="301" applyFont="1"/>
    <xf numFmtId="0" fontId="99" fillId="41" borderId="75" xfId="301" applyFont="1" applyFill="1" applyBorder="1" applyAlignment="1">
      <alignment horizontal="center" vertical="center"/>
    </xf>
    <xf numFmtId="0" fontId="99" fillId="41" borderId="75" xfId="301" quotePrefix="1" applyFont="1" applyFill="1" applyBorder="1" applyAlignment="1">
      <alignment horizontal="center" vertical="center"/>
    </xf>
    <xf numFmtId="0" fontId="99" fillId="41" borderId="76" xfId="301" quotePrefix="1" applyFont="1" applyFill="1" applyBorder="1" applyAlignment="1">
      <alignment horizontal="center" vertical="center"/>
    </xf>
    <xf numFmtId="0" fontId="99" fillId="42" borderId="16" xfId="301" quotePrefix="1" applyFont="1" applyFill="1" applyBorder="1" applyAlignment="1">
      <alignment horizontal="center" vertical="center"/>
    </xf>
    <xf numFmtId="0" fontId="66" fillId="0" borderId="75" xfId="301" applyFont="1" applyBorder="1" applyAlignment="1">
      <alignment horizontal="left" vertical="center"/>
    </xf>
    <xf numFmtId="180" fontId="66" fillId="0" borderId="75" xfId="301" applyNumberFormat="1" applyFont="1" applyBorder="1" applyAlignment="1">
      <alignment horizontal="right" vertical="center"/>
    </xf>
    <xf numFmtId="44" fontId="0" fillId="0" borderId="0" xfId="15" applyFont="1"/>
    <xf numFmtId="44" fontId="0" fillId="0" borderId="53" xfId="15" applyFont="1" applyBorder="1"/>
    <xf numFmtId="165" fontId="0" fillId="0" borderId="53" xfId="3" applyNumberFormat="1" applyFont="1" applyBorder="1"/>
    <xf numFmtId="165" fontId="0" fillId="0" borderId="52" xfId="3" applyNumberFormat="1" applyFont="1" applyBorder="1"/>
    <xf numFmtId="44" fontId="97" fillId="0" borderId="11" xfId="301" applyNumberFormat="1" applyBorder="1"/>
    <xf numFmtId="44" fontId="97" fillId="0" borderId="12" xfId="301" applyNumberFormat="1" applyBorder="1"/>
    <xf numFmtId="44" fontId="97" fillId="0" borderId="16" xfId="301" applyNumberFormat="1" applyBorder="1"/>
    <xf numFmtId="167" fontId="97" fillId="0" borderId="0" xfId="301" applyNumberFormat="1"/>
    <xf numFmtId="10" fontId="97" fillId="0" borderId="0" xfId="1" applyNumberFormat="1" applyFont="1"/>
    <xf numFmtId="169" fontId="97" fillId="0" borderId="0" xfId="301" applyNumberFormat="1"/>
    <xf numFmtId="169" fontId="97" fillId="0" borderId="70" xfId="301" applyNumberFormat="1" applyBorder="1"/>
    <xf numFmtId="169" fontId="97" fillId="0" borderId="0" xfId="301" applyNumberFormat="1" applyBorder="1"/>
    <xf numFmtId="0" fontId="4" fillId="0" borderId="0" xfId="301" applyFont="1"/>
    <xf numFmtId="5" fontId="9" fillId="0" borderId="14" xfId="34" applyNumberFormat="1" applyFont="1" applyFill="1" applyBorder="1" applyAlignment="1"/>
    <xf numFmtId="10" fontId="31" fillId="0" borderId="20" xfId="35" applyNumberFormat="1" applyFont="1" applyFill="1" applyBorder="1"/>
    <xf numFmtId="0" fontId="6" fillId="0" borderId="0" xfId="34" applyFont="1" applyBorder="1"/>
    <xf numFmtId="6" fontId="6" fillId="0" borderId="0" xfId="37" applyNumberFormat="1" applyFont="1" applyFill="1" applyBorder="1" applyAlignment="1">
      <alignment wrapText="1"/>
    </xf>
    <xf numFmtId="2" fontId="6" fillId="0" borderId="0" xfId="34" applyNumberFormat="1" applyFont="1" applyBorder="1"/>
    <xf numFmtId="42" fontId="6" fillId="0" borderId="24" xfId="34" applyNumberFormat="1" applyFont="1" applyBorder="1"/>
    <xf numFmtId="0" fontId="6" fillId="0" borderId="0" xfId="34" applyFont="1" applyFill="1" applyBorder="1"/>
    <xf numFmtId="6" fontId="6" fillId="0" borderId="0" xfId="37" applyNumberFormat="1" applyFont="1" applyFill="1" applyBorder="1" applyAlignment="1">
      <alignment horizontal="right" wrapText="1"/>
    </xf>
    <xf numFmtId="4" fontId="6" fillId="0" borderId="0" xfId="34" applyNumberFormat="1" applyFont="1" applyFill="1" applyBorder="1"/>
    <xf numFmtId="2" fontId="6" fillId="0" borderId="0" xfId="34" applyNumberFormat="1" applyFont="1" applyFill="1" applyBorder="1"/>
    <xf numFmtId="0" fontId="9" fillId="0" borderId="9" xfId="34" applyFont="1" applyFill="1" applyBorder="1"/>
    <xf numFmtId="0" fontId="9" fillId="0" borderId="20" xfId="34" applyFont="1" applyFill="1" applyBorder="1"/>
    <xf numFmtId="4" fontId="9" fillId="0" borderId="20" xfId="34" applyNumberFormat="1" applyFont="1" applyFill="1" applyBorder="1"/>
    <xf numFmtId="42" fontId="9" fillId="0" borderId="26" xfId="34" applyNumberFormat="1" applyFont="1" applyBorder="1"/>
    <xf numFmtId="0" fontId="6" fillId="0" borderId="14" xfId="34" applyFont="1" applyFill="1" applyBorder="1"/>
    <xf numFmtId="0" fontId="6" fillId="0" borderId="24" xfId="34" applyFont="1" applyBorder="1"/>
    <xf numFmtId="0" fontId="9" fillId="0" borderId="14" xfId="34" applyFont="1" applyFill="1" applyBorder="1"/>
    <xf numFmtId="0" fontId="9" fillId="0" borderId="0" xfId="34" applyFont="1" applyBorder="1"/>
    <xf numFmtId="10" fontId="6" fillId="0" borderId="0" xfId="34" applyNumberFormat="1" applyFont="1" applyFill="1" applyBorder="1"/>
    <xf numFmtId="44" fontId="9" fillId="0" borderId="20" xfId="34" applyNumberFormat="1" applyFont="1" applyBorder="1"/>
    <xf numFmtId="169" fontId="6" fillId="0" borderId="0" xfId="34" applyNumberFormat="1" applyFont="1" applyFill="1" applyBorder="1"/>
    <xf numFmtId="167" fontId="6" fillId="0" borderId="0" xfId="34" applyNumberFormat="1" applyFont="1" applyFill="1" applyBorder="1"/>
    <xf numFmtId="5" fontId="6" fillId="0" borderId="24" xfId="34" applyNumberFormat="1" applyFont="1" applyBorder="1"/>
    <xf numFmtId="10" fontId="6" fillId="0" borderId="0" xfId="1" applyNumberFormat="1" applyFont="1" applyFill="1" applyBorder="1"/>
    <xf numFmtId="0" fontId="6" fillId="0" borderId="69" xfId="34" applyFont="1" applyFill="1" applyBorder="1"/>
    <xf numFmtId="0" fontId="6" fillId="0" borderId="70" xfId="34" applyFont="1" applyFill="1" applyBorder="1"/>
    <xf numFmtId="169" fontId="6" fillId="0" borderId="70" xfId="34" applyNumberFormat="1" applyFont="1" applyFill="1" applyBorder="1"/>
    <xf numFmtId="167" fontId="6" fillId="0" borderId="70" xfId="34" applyNumberFormat="1" applyFont="1" applyFill="1" applyBorder="1"/>
    <xf numFmtId="0" fontId="9" fillId="0" borderId="19" xfId="34" applyFont="1" applyFill="1" applyBorder="1"/>
    <xf numFmtId="0" fontId="9" fillId="0" borderId="18" xfId="34" applyFont="1" applyFill="1" applyBorder="1"/>
    <xf numFmtId="0" fontId="9" fillId="0" borderId="18" xfId="34" applyFont="1" applyBorder="1"/>
    <xf numFmtId="42" fontId="9" fillId="0" borderId="17" xfId="34" applyNumberFormat="1" applyFont="1" applyBorder="1"/>
    <xf numFmtId="0" fontId="6" fillId="0" borderId="25" xfId="34" applyFont="1" applyFill="1" applyBorder="1"/>
    <xf numFmtId="9" fontId="6" fillId="0" borderId="6" xfId="34" applyNumberFormat="1" applyFont="1" applyFill="1" applyBorder="1"/>
    <xf numFmtId="10" fontId="6" fillId="0" borderId="6" xfId="35" applyNumberFormat="1" applyFont="1" applyFill="1" applyBorder="1"/>
    <xf numFmtId="0" fontId="6" fillId="0" borderId="6" xfId="34" applyFont="1" applyBorder="1"/>
    <xf numFmtId="42" fontId="6" fillId="0" borderId="27" xfId="34" applyNumberFormat="1" applyFont="1" applyBorder="1"/>
    <xf numFmtId="0" fontId="6" fillId="0" borderId="18" xfId="34" applyFont="1" applyFill="1" applyBorder="1"/>
    <xf numFmtId="0" fontId="6" fillId="0" borderId="18" xfId="34" applyFont="1" applyBorder="1"/>
    <xf numFmtId="0" fontId="4" fillId="0" borderId="23" xfId="34" applyFont="1" applyFill="1" applyBorder="1"/>
    <xf numFmtId="0" fontId="6" fillId="0" borderId="19" xfId="34" applyFont="1" applyBorder="1"/>
    <xf numFmtId="0" fontId="6" fillId="0" borderId="20" xfId="34" applyFont="1" applyBorder="1"/>
    <xf numFmtId="0" fontId="6" fillId="0" borderId="36" xfId="34" applyFont="1" applyBorder="1"/>
    <xf numFmtId="0" fontId="6" fillId="0" borderId="29" xfId="34" applyFont="1" applyBorder="1"/>
    <xf numFmtId="10" fontId="6" fillId="0" borderId="29" xfId="50" applyNumberFormat="1" applyFont="1" applyFill="1" applyBorder="1"/>
    <xf numFmtId="44" fontId="6" fillId="0" borderId="30" xfId="34" applyNumberFormat="1" applyFont="1" applyFill="1" applyBorder="1"/>
    <xf numFmtId="6" fontId="4" fillId="0" borderId="0" xfId="37" applyNumberFormat="1" applyFont="1" applyFill="1" applyBorder="1" applyAlignment="1">
      <alignment horizontal="right" wrapText="1"/>
    </xf>
    <xf numFmtId="5" fontId="3" fillId="0" borderId="14" xfId="34" applyNumberFormat="1" applyFont="1" applyFill="1" applyBorder="1" applyAlignment="1"/>
    <xf numFmtId="166" fontId="3" fillId="0" borderId="14" xfId="34" applyNumberFormat="1" applyFont="1" applyFill="1" applyBorder="1" applyAlignment="1"/>
    <xf numFmtId="0" fontId="4" fillId="0" borderId="0" xfId="34" applyFont="1" applyFill="1" applyBorder="1"/>
    <xf numFmtId="4" fontId="4" fillId="0" borderId="0" xfId="34" applyNumberFormat="1" applyFont="1" applyFill="1" applyBorder="1"/>
    <xf numFmtId="2" fontId="4" fillId="0" borderId="0" xfId="34" applyNumberFormat="1" applyFont="1" applyFill="1" applyBorder="1"/>
    <xf numFmtId="0" fontId="3" fillId="0" borderId="9" xfId="34" applyFont="1" applyFill="1" applyBorder="1"/>
    <xf numFmtId="0" fontId="3" fillId="0" borderId="20" xfId="34" applyFont="1" applyFill="1" applyBorder="1"/>
    <xf numFmtId="4" fontId="3" fillId="0" borderId="20" xfId="34" applyNumberFormat="1" applyFont="1" applyFill="1" applyBorder="1"/>
    <xf numFmtId="0" fontId="4" fillId="0" borderId="14" xfId="34" applyFont="1" applyFill="1" applyBorder="1"/>
    <xf numFmtId="0" fontId="3" fillId="0" borderId="14" xfId="34" applyFont="1" applyFill="1" applyBorder="1"/>
    <xf numFmtId="0" fontId="3" fillId="0" borderId="0" xfId="34" applyFont="1" applyFill="1" applyBorder="1"/>
    <xf numFmtId="10" fontId="4" fillId="0" borderId="0" xfId="34" applyNumberFormat="1" applyFont="1" applyFill="1" applyBorder="1"/>
    <xf numFmtId="44" fontId="3" fillId="0" borderId="20" xfId="34" applyNumberFormat="1" applyFont="1" applyFill="1" applyBorder="1"/>
    <xf numFmtId="169" fontId="4" fillId="0" borderId="0" xfId="34" applyNumberFormat="1" applyFont="1" applyFill="1" applyBorder="1"/>
    <xf numFmtId="167" fontId="4" fillId="0" borderId="0" xfId="34" applyNumberFormat="1" applyFont="1" applyFill="1" applyBorder="1"/>
    <xf numFmtId="10" fontId="4" fillId="0" borderId="0" xfId="1" applyNumberFormat="1" applyFont="1" applyFill="1" applyBorder="1"/>
    <xf numFmtId="0" fontId="4" fillId="0" borderId="69" xfId="34" applyFont="1" applyFill="1" applyBorder="1"/>
    <xf numFmtId="0" fontId="4" fillId="0" borderId="70" xfId="34" applyFont="1" applyFill="1" applyBorder="1"/>
    <xf numFmtId="169" fontId="4" fillId="0" borderId="70" xfId="34" applyNumberFormat="1" applyFont="1" applyFill="1" applyBorder="1"/>
    <xf numFmtId="167" fontId="4" fillId="0" borderId="70" xfId="34" applyNumberFormat="1" applyFont="1" applyFill="1" applyBorder="1"/>
    <xf numFmtId="0" fontId="3" fillId="0" borderId="19" xfId="34" applyFont="1" applyFill="1" applyBorder="1"/>
    <xf numFmtId="0" fontId="3" fillId="0" borderId="18" xfId="34" applyFont="1" applyFill="1" applyBorder="1"/>
    <xf numFmtId="0" fontId="4" fillId="0" borderId="25" xfId="34" applyFont="1" applyFill="1" applyBorder="1"/>
    <xf numFmtId="9" fontId="4" fillId="0" borderId="6" xfId="34" applyNumberFormat="1" applyFont="1" applyFill="1" applyBorder="1"/>
    <xf numFmtId="10" fontId="4" fillId="0" borderId="6" xfId="35" applyNumberFormat="1" applyFont="1" applyFill="1" applyBorder="1"/>
    <xf numFmtId="0" fontId="4" fillId="0" borderId="6" xfId="34" applyFont="1" applyFill="1" applyBorder="1"/>
    <xf numFmtId="0" fontId="4" fillId="0" borderId="18" xfId="34" applyFont="1" applyFill="1" applyBorder="1"/>
    <xf numFmtId="9" fontId="4" fillId="0" borderId="20" xfId="34" applyNumberFormat="1" applyFont="1" applyFill="1" applyBorder="1"/>
    <xf numFmtId="0" fontId="4" fillId="0" borderId="20" xfId="34" applyFont="1" applyFill="1" applyBorder="1"/>
    <xf numFmtId="0" fontId="4" fillId="0" borderId="9" xfId="34" applyFont="1" applyFill="1" applyBorder="1"/>
    <xf numFmtId="2" fontId="4" fillId="0" borderId="0" xfId="34" applyNumberFormat="1" applyFont="1" applyBorder="1"/>
    <xf numFmtId="169" fontId="4" fillId="0" borderId="6" xfId="34" applyNumberFormat="1" applyFont="1" applyFill="1" applyBorder="1"/>
    <xf numFmtId="167" fontId="4" fillId="0" borderId="6" xfId="34" applyNumberFormat="1" applyFont="1" applyFill="1" applyBorder="1"/>
    <xf numFmtId="44" fontId="4" fillId="0" borderId="0" xfId="36" applyFont="1" applyFill="1" applyBorder="1"/>
    <xf numFmtId="0" fontId="4" fillId="0" borderId="19" xfId="0" applyFont="1" applyFill="1" applyBorder="1" applyAlignment="1">
      <alignment wrapText="1"/>
    </xf>
    <xf numFmtId="0" fontId="4" fillId="0" borderId="12" xfId="34" applyFont="1" applyFill="1" applyBorder="1"/>
    <xf numFmtId="0" fontId="4" fillId="0" borderId="7" xfId="34" applyFont="1" applyFill="1" applyBorder="1"/>
    <xf numFmtId="10" fontId="4" fillId="0" borderId="7" xfId="34" applyNumberFormat="1" applyFont="1" applyFill="1" applyBorder="1"/>
    <xf numFmtId="0" fontId="4" fillId="0" borderId="19" xfId="34" applyFont="1" applyFill="1" applyBorder="1"/>
    <xf numFmtId="10" fontId="4" fillId="0" borderId="14" xfId="1" applyNumberFormat="1" applyFont="1" applyFill="1" applyBorder="1"/>
    <xf numFmtId="6" fontId="4" fillId="0" borderId="0" xfId="0" applyNumberFormat="1" applyFont="1" applyFill="1" applyBorder="1"/>
    <xf numFmtId="2" fontId="4" fillId="0" borderId="0" xfId="0" applyNumberFormat="1" applyFont="1" applyFill="1" applyBorder="1"/>
    <xf numFmtId="2" fontId="4" fillId="0" borderId="18" xfId="0" applyNumberFormat="1" applyFont="1" applyFill="1" applyBorder="1"/>
    <xf numFmtId="0" fontId="3" fillId="0" borderId="9" xfId="51" applyFont="1" applyFill="1" applyBorder="1"/>
    <xf numFmtId="0" fontId="3" fillId="0" borderId="20" xfId="51" applyFont="1" applyFill="1" applyBorder="1"/>
    <xf numFmtId="4" fontId="3" fillId="0" borderId="18" xfId="51" applyNumberFormat="1" applyFont="1" applyFill="1" applyBorder="1"/>
    <xf numFmtId="0" fontId="4" fillId="0" borderId="14" xfId="51" applyFont="1" applyFill="1" applyBorder="1"/>
    <xf numFmtId="0" fontId="3" fillId="0" borderId="14" xfId="51" applyFont="1" applyFill="1" applyBorder="1"/>
    <xf numFmtId="0" fontId="3" fillId="0" borderId="0" xfId="51" applyFont="1" applyFill="1" applyBorder="1" applyAlignment="1">
      <alignment horizontal="right"/>
    </xf>
    <xf numFmtId="44" fontId="3" fillId="0" borderId="20" xfId="51" applyNumberFormat="1" applyFont="1" applyFill="1" applyBorder="1"/>
    <xf numFmtId="0" fontId="4" fillId="0" borderId="0" xfId="51" applyFont="1" applyFill="1" applyBorder="1" applyAlignment="1">
      <alignment horizontal="right"/>
    </xf>
    <xf numFmtId="169" fontId="4" fillId="0" borderId="0" xfId="51" applyNumberFormat="1" applyFont="1" applyFill="1" applyBorder="1" applyAlignment="1">
      <alignment horizontal="right"/>
    </xf>
    <xf numFmtId="10" fontId="4" fillId="0" borderId="0" xfId="1" applyNumberFormat="1" applyFont="1" applyFill="1" applyBorder="1" applyAlignment="1">
      <alignment horizontal="right"/>
    </xf>
    <xf numFmtId="5" fontId="4" fillId="0" borderId="0" xfId="13" applyNumberFormat="1" applyFont="1" applyFill="1" applyBorder="1" applyAlignment="1">
      <alignment horizontal="right"/>
    </xf>
    <xf numFmtId="0" fontId="4" fillId="0" borderId="28" xfId="51" applyFont="1" applyFill="1" applyBorder="1"/>
    <xf numFmtId="9" fontId="4" fillId="0" borderId="21" xfId="51" applyNumberFormat="1" applyFont="1" applyFill="1" applyBorder="1"/>
    <xf numFmtId="0" fontId="4" fillId="0" borderId="21" xfId="51" applyFont="1" applyFill="1" applyBorder="1"/>
    <xf numFmtId="0" fontId="3" fillId="0" borderId="25" xfId="51" applyFont="1" applyFill="1" applyBorder="1"/>
    <xf numFmtId="0" fontId="4" fillId="0" borderId="6" xfId="51" applyFont="1" applyFill="1" applyBorder="1"/>
    <xf numFmtId="0" fontId="4" fillId="0" borderId="33" xfId="51" applyFont="1" applyFill="1" applyBorder="1"/>
    <xf numFmtId="0" fontId="4" fillId="0" borderId="34" xfId="51" applyFont="1" applyFill="1" applyBorder="1"/>
    <xf numFmtId="0" fontId="4" fillId="0" borderId="12" xfId="51" applyFont="1" applyFill="1" applyBorder="1"/>
    <xf numFmtId="0" fontId="4" fillId="0" borderId="11" xfId="51" applyFont="1" applyFill="1" applyBorder="1"/>
    <xf numFmtId="9" fontId="3" fillId="0" borderId="12" xfId="51" applyNumberFormat="1" applyFont="1" applyFill="1" applyBorder="1"/>
    <xf numFmtId="10" fontId="4" fillId="0" borderId="12" xfId="51" applyNumberFormat="1" applyFont="1" applyFill="1" applyBorder="1"/>
    <xf numFmtId="0" fontId="4" fillId="0" borderId="19" xfId="51" applyFont="1" applyFill="1" applyBorder="1"/>
    <xf numFmtId="0" fontId="4" fillId="0" borderId="18" xfId="51" applyFont="1" applyFill="1" applyBorder="1"/>
    <xf numFmtId="7" fontId="15" fillId="0" borderId="0" xfId="0" applyNumberFormat="1" applyFont="1"/>
    <xf numFmtId="0" fontId="3" fillId="0" borderId="0" xfId="301" applyFont="1"/>
    <xf numFmtId="167" fontId="97" fillId="0" borderId="14" xfId="301" applyNumberFormat="1" applyBorder="1"/>
    <xf numFmtId="169" fontId="97" fillId="0" borderId="24" xfId="301" applyNumberFormat="1" applyBorder="1"/>
    <xf numFmtId="167" fontId="97" fillId="0" borderId="23" xfId="301" applyNumberFormat="1" applyBorder="1"/>
    <xf numFmtId="169" fontId="97" fillId="0" borderId="8" xfId="301" applyNumberFormat="1" applyBorder="1"/>
    <xf numFmtId="0" fontId="3" fillId="0" borderId="11" xfId="301" applyFont="1" applyBorder="1" applyAlignment="1">
      <alignment horizontal="center"/>
    </xf>
    <xf numFmtId="0" fontId="3" fillId="0" borderId="13" xfId="301" applyFont="1" applyBorder="1" applyAlignment="1">
      <alignment horizontal="center"/>
    </xf>
    <xf numFmtId="169" fontId="97" fillId="0" borderId="16" xfId="301" applyNumberFormat="1" applyBorder="1"/>
    <xf numFmtId="7" fontId="0" fillId="0" borderId="5" xfId="0" applyNumberFormat="1" applyBorder="1"/>
    <xf numFmtId="9" fontId="7" fillId="0" borderId="21" xfId="51" applyNumberFormat="1" applyFont="1" applyFill="1" applyBorder="1"/>
    <xf numFmtId="10" fontId="7" fillId="0" borderId="3" xfId="50" applyNumberFormat="1" applyFont="1" applyFill="1" applyBorder="1"/>
    <xf numFmtId="0" fontId="7" fillId="4" borderId="41" xfId="51" applyFont="1" applyFill="1" applyBorder="1"/>
    <xf numFmtId="0" fontId="7" fillId="4" borderId="18" xfId="51" applyFont="1" applyFill="1" applyBorder="1"/>
    <xf numFmtId="4" fontId="13" fillId="4" borderId="42" xfId="51" applyNumberFormat="1" applyFont="1" applyFill="1" applyBorder="1" applyAlignment="1">
      <alignment horizontal="right"/>
    </xf>
    <xf numFmtId="169" fontId="7" fillId="0" borderId="0" xfId="51" applyNumberFormat="1" applyFont="1" applyFill="1" applyBorder="1" applyAlignment="1">
      <alignment horizontal="right"/>
    </xf>
    <xf numFmtId="44" fontId="6" fillId="13" borderId="26" xfId="34" applyNumberFormat="1" applyFont="1" applyFill="1" applyBorder="1"/>
    <xf numFmtId="2" fontId="16" fillId="0" borderId="0" xfId="1" applyNumberFormat="1" applyFont="1" applyAlignment="1">
      <alignment horizontal="left"/>
    </xf>
    <xf numFmtId="2" fontId="7" fillId="0" borderId="0" xfId="34" applyNumberFormat="1" applyFont="1" applyBorder="1"/>
    <xf numFmtId="167" fontId="16" fillId="4" borderId="8" xfId="34" applyNumberFormat="1" applyFont="1" applyFill="1" applyBorder="1"/>
    <xf numFmtId="167" fontId="15" fillId="4" borderId="8" xfId="34" applyNumberFormat="1" applyFont="1" applyFill="1" applyBorder="1"/>
    <xf numFmtId="44" fontId="7" fillId="13" borderId="8" xfId="36" applyNumberFormat="1" applyFont="1" applyFill="1" applyBorder="1"/>
    <xf numFmtId="0" fontId="92" fillId="0" borderId="5" xfId="299" applyFont="1" applyBorder="1" applyAlignment="1">
      <alignment horizontal="center" vertical="center" wrapText="1" readingOrder="1"/>
    </xf>
    <xf numFmtId="49" fontId="91" fillId="0" borderId="5" xfId="19" applyNumberFormat="1" applyFont="1" applyBorder="1" applyAlignment="1">
      <alignment horizontal="center" vertical="center"/>
    </xf>
    <xf numFmtId="49" fontId="91" fillId="0" borderId="5" xfId="19" applyNumberFormat="1" applyFont="1" applyBorder="1" applyAlignment="1">
      <alignment horizontal="center" vertical="center" wrapText="1"/>
    </xf>
    <xf numFmtId="0" fontId="62" fillId="0" borderId="4" xfId="0" applyFont="1" applyBorder="1" applyAlignment="1">
      <alignment horizontal="left" vertical="center" wrapText="1"/>
    </xf>
    <xf numFmtId="0" fontId="62" fillId="0" borderId="8" xfId="0" applyFont="1" applyBorder="1" applyAlignment="1">
      <alignment horizontal="left" vertical="center" wrapText="1"/>
    </xf>
    <xf numFmtId="0" fontId="62" fillId="0" borderId="24" xfId="0" applyFont="1" applyBorder="1" applyAlignment="1">
      <alignment horizontal="left" vertical="center" wrapText="1"/>
    </xf>
    <xf numFmtId="0" fontId="62" fillId="0" borderId="3" xfId="0" applyFont="1" applyBorder="1" applyAlignment="1">
      <alignment vertical="top" wrapText="1"/>
    </xf>
    <xf numFmtId="0" fontId="62" fillId="0" borderId="7" xfId="0" applyFont="1" applyBorder="1" applyAlignment="1">
      <alignment vertical="top" wrapText="1"/>
    </xf>
    <xf numFmtId="167" fontId="0" fillId="0" borderId="51" xfId="0" applyNumberFormat="1" applyBorder="1" applyAlignment="1">
      <alignment horizontal="right" vertical="center"/>
    </xf>
    <xf numFmtId="167" fontId="0" fillId="0" borderId="52" xfId="0" applyNumberFormat="1" applyBorder="1" applyAlignment="1">
      <alignment horizontal="right" vertical="center"/>
    </xf>
    <xf numFmtId="0" fontId="62" fillId="0" borderId="3" xfId="0" applyFont="1" applyBorder="1" applyAlignment="1">
      <alignment horizontal="left" vertical="top" wrapText="1"/>
    </xf>
    <xf numFmtId="0" fontId="62" fillId="0" borderId="7" xfId="0" applyFont="1" applyBorder="1" applyAlignment="1">
      <alignment horizontal="left" vertical="top" wrapText="1"/>
    </xf>
    <xf numFmtId="0" fontId="41" fillId="4" borderId="11" xfId="0" applyFont="1" applyFill="1" applyBorder="1" applyAlignment="1">
      <alignment horizontal="center"/>
    </xf>
    <xf numFmtId="0" fontId="41" fillId="4" borderId="12" xfId="0" applyFont="1" applyFill="1" applyBorder="1" applyAlignment="1">
      <alignment horizontal="center"/>
    </xf>
    <xf numFmtId="0" fontId="43" fillId="0" borderId="0" xfId="34" applyFont="1" applyFill="1" applyBorder="1" applyAlignment="1">
      <alignment horizontal="center"/>
    </xf>
    <xf numFmtId="0" fontId="6" fillId="0" borderId="0" xfId="34" applyFont="1" applyFill="1" applyBorder="1" applyAlignment="1">
      <alignment horizontal="right"/>
    </xf>
    <xf numFmtId="0" fontId="48" fillId="0" borderId="11" xfId="34" applyFont="1" applyBorder="1" applyAlignment="1">
      <alignment horizontal="center"/>
    </xf>
    <xf numFmtId="0" fontId="0" fillId="0" borderId="12" xfId="0" applyBorder="1" applyAlignment="1"/>
    <xf numFmtId="0" fontId="48" fillId="0" borderId="11" xfId="34" applyFont="1" applyFill="1" applyBorder="1" applyAlignment="1">
      <alignment horizontal="center"/>
    </xf>
    <xf numFmtId="0" fontId="41" fillId="4" borderId="13" xfId="0" applyFont="1" applyFill="1" applyBorder="1" applyAlignment="1">
      <alignment horizontal="center"/>
    </xf>
    <xf numFmtId="0" fontId="0" fillId="0" borderId="12" xfId="0" applyBorder="1"/>
    <xf numFmtId="0" fontId="36" fillId="7" borderId="3" xfId="60" applyFont="1" applyFill="1" applyBorder="1" applyAlignment="1">
      <alignment horizontal="left"/>
    </xf>
    <xf numFmtId="0" fontId="36" fillId="7" borderId="4" xfId="60" applyFont="1" applyFill="1" applyBorder="1" applyAlignment="1">
      <alignment horizontal="left"/>
    </xf>
    <xf numFmtId="0" fontId="37" fillId="7" borderId="0" xfId="60" applyFont="1" applyFill="1" applyBorder="1" applyAlignment="1">
      <alignment horizontal="left"/>
    </xf>
    <xf numFmtId="0" fontId="37" fillId="7" borderId="24" xfId="60" applyFont="1" applyFill="1" applyBorder="1" applyAlignment="1">
      <alignment horizontal="left"/>
    </xf>
    <xf numFmtId="0" fontId="9" fillId="7" borderId="7" xfId="60" applyFont="1" applyFill="1" applyBorder="1" applyAlignment="1">
      <alignment horizontal="left"/>
    </xf>
    <xf numFmtId="0" fontId="9" fillId="7" borderId="8" xfId="60" applyFont="1" applyFill="1" applyBorder="1" applyAlignment="1">
      <alignment horizontal="left"/>
    </xf>
    <xf numFmtId="0" fontId="13" fillId="6" borderId="11" xfId="51" applyFont="1" applyFill="1" applyBorder="1" applyAlignment="1">
      <alignment horizontal="center"/>
    </xf>
    <xf numFmtId="0" fontId="13" fillId="6" borderId="12" xfId="51" applyFont="1" applyFill="1" applyBorder="1" applyAlignment="1">
      <alignment horizontal="center"/>
    </xf>
    <xf numFmtId="0" fontId="13" fillId="6" borderId="13" xfId="51" applyFont="1" applyFill="1" applyBorder="1" applyAlignment="1">
      <alignment horizontal="center"/>
    </xf>
    <xf numFmtId="0" fontId="13" fillId="6" borderId="11" xfId="34" applyFont="1" applyFill="1" applyBorder="1" applyAlignment="1">
      <alignment horizontal="center"/>
    </xf>
    <xf numFmtId="0" fontId="13" fillId="6" borderId="12" xfId="34" applyFont="1" applyFill="1" applyBorder="1" applyAlignment="1">
      <alignment horizontal="center"/>
    </xf>
    <xf numFmtId="0" fontId="13" fillId="6" borderId="13" xfId="34" applyFont="1" applyFill="1" applyBorder="1" applyAlignment="1">
      <alignment horizontal="center"/>
    </xf>
    <xf numFmtId="0" fontId="27" fillId="6" borderId="2" xfId="34" applyFont="1" applyFill="1" applyBorder="1" applyAlignment="1">
      <alignment horizontal="center"/>
    </xf>
    <xf numFmtId="0" fontId="27" fillId="6" borderId="3" xfId="34" applyFont="1" applyFill="1" applyBorder="1" applyAlignment="1">
      <alignment horizontal="center"/>
    </xf>
    <xf numFmtId="0" fontId="27" fillId="6" borderId="12" xfId="34" applyFont="1" applyFill="1" applyBorder="1" applyAlignment="1">
      <alignment horizontal="center"/>
    </xf>
    <xf numFmtId="0" fontId="27" fillId="6" borderId="13" xfId="34" applyFont="1" applyFill="1" applyBorder="1" applyAlignment="1">
      <alignment horizontal="center"/>
    </xf>
    <xf numFmtId="0" fontId="15" fillId="0" borderId="0" xfId="0" applyFont="1" applyAlignment="1">
      <alignment horizontal="left" wrapText="1"/>
    </xf>
    <xf numFmtId="42" fontId="7" fillId="0" borderId="0" xfId="34" applyNumberFormat="1" applyFont="1" applyFill="1" applyBorder="1" applyAlignment="1">
      <alignment horizontal="left" wrapText="1"/>
    </xf>
    <xf numFmtId="0" fontId="3" fillId="0" borderId="0" xfId="301" applyFont="1" applyAlignment="1">
      <alignment horizontal="center"/>
    </xf>
    <xf numFmtId="0" fontId="86" fillId="6" borderId="2" xfId="34" applyFont="1" applyFill="1" applyBorder="1" applyAlignment="1">
      <alignment horizontal="center"/>
    </xf>
    <xf numFmtId="0" fontId="86" fillId="6" borderId="3" xfId="34" applyFont="1" applyFill="1" applyBorder="1" applyAlignment="1">
      <alignment horizontal="center"/>
    </xf>
    <xf numFmtId="0" fontId="86" fillId="6" borderId="4" xfId="34" applyFont="1" applyFill="1" applyBorder="1" applyAlignment="1">
      <alignment horizontal="center"/>
    </xf>
    <xf numFmtId="164" fontId="4" fillId="3" borderId="15" xfId="2" applyNumberFormat="1" applyFont="1" applyFill="1" applyBorder="1" applyAlignment="1">
      <alignment horizontal="center" wrapText="1"/>
    </xf>
    <xf numFmtId="164" fontId="4" fillId="3" borderId="10" xfId="2" applyNumberFormat="1" applyFont="1" applyFill="1" applyBorder="1" applyAlignment="1">
      <alignment horizontal="center" wrapText="1"/>
    </xf>
    <xf numFmtId="164" fontId="4" fillId="0" borderId="9" xfId="2" applyNumberFormat="1" applyFont="1" applyBorder="1" applyAlignment="1">
      <alignment horizontal="left" wrapText="1"/>
    </xf>
    <xf numFmtId="164" fontId="4" fillId="0" borderId="20" xfId="2" applyNumberFormat="1" applyFont="1" applyBorder="1" applyAlignment="1">
      <alignment horizontal="left" wrapText="1"/>
    </xf>
    <xf numFmtId="0" fontId="13" fillId="6" borderId="2" xfId="34" applyFont="1" applyFill="1" applyBorder="1" applyAlignment="1">
      <alignment horizontal="center"/>
    </xf>
    <xf numFmtId="0" fontId="13" fillId="6" borderId="3" xfId="34" applyFont="1" applyFill="1" applyBorder="1" applyAlignment="1">
      <alignment horizontal="center"/>
    </xf>
    <xf numFmtId="0" fontId="13" fillId="6" borderId="4" xfId="34" applyFont="1" applyFill="1" applyBorder="1" applyAlignment="1">
      <alignment horizontal="center"/>
    </xf>
    <xf numFmtId="0" fontId="13" fillId="6" borderId="2" xfId="51" applyFont="1" applyFill="1" applyBorder="1" applyAlignment="1">
      <alignment horizontal="center"/>
    </xf>
    <xf numFmtId="0" fontId="13" fillId="6" borderId="3" xfId="51" applyFont="1" applyFill="1" applyBorder="1" applyAlignment="1">
      <alignment horizontal="center"/>
    </xf>
    <xf numFmtId="0" fontId="4" fillId="0" borderId="39" xfId="23" applyBorder="1" applyAlignment="1">
      <alignment horizontal="right"/>
    </xf>
    <xf numFmtId="0" fontId="4" fillId="0" borderId="0" xfId="23" applyAlignment="1">
      <alignment horizontal="right"/>
    </xf>
    <xf numFmtId="0" fontId="46" fillId="0" borderId="14" xfId="34" applyFont="1" applyFill="1" applyBorder="1" applyAlignment="1"/>
    <xf numFmtId="0" fontId="45" fillId="0" borderId="0" xfId="0" applyFont="1" applyFill="1" applyBorder="1"/>
    <xf numFmtId="0" fontId="0" fillId="0" borderId="12" xfId="0" applyFill="1" applyBorder="1" applyAlignment="1"/>
    <xf numFmtId="0" fontId="50" fillId="0" borderId="13" xfId="34" applyFont="1" applyFill="1" applyBorder="1" applyAlignment="1">
      <alignment horizontal="center"/>
    </xf>
    <xf numFmtId="0" fontId="42" fillId="0" borderId="2" xfId="34" applyFont="1" applyFill="1" applyBorder="1" applyAlignment="1">
      <alignment horizontal="left"/>
    </xf>
    <xf numFmtId="0" fontId="31" fillId="0" borderId="24" xfId="0" applyFont="1" applyFill="1" applyBorder="1" applyAlignment="1">
      <alignment horizontal="center" wrapText="1"/>
    </xf>
    <xf numFmtId="166" fontId="42" fillId="0" borderId="23" xfId="37" applyNumberFormat="1" applyFont="1" applyFill="1" applyBorder="1" applyAlignment="1">
      <alignment wrapText="1"/>
    </xf>
    <xf numFmtId="0" fontId="41" fillId="0" borderId="11" xfId="0" applyFont="1" applyFill="1" applyBorder="1" applyAlignment="1">
      <alignment horizontal="center"/>
    </xf>
    <xf numFmtId="0" fontId="41" fillId="0" borderId="12" xfId="0" applyFont="1" applyFill="1" applyBorder="1" applyAlignment="1">
      <alignment horizontal="center"/>
    </xf>
    <xf numFmtId="0" fontId="41" fillId="0" borderId="13" xfId="0" applyFont="1" applyFill="1" applyBorder="1" applyAlignment="1">
      <alignment horizontal="center"/>
    </xf>
    <xf numFmtId="0" fontId="0" fillId="0" borderId="16" xfId="0" applyFill="1" applyBorder="1"/>
    <xf numFmtId="0" fontId="0" fillId="0" borderId="1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53" fillId="0" borderId="11" xfId="0" applyFont="1" applyFill="1" applyBorder="1"/>
    <xf numFmtId="10" fontId="53" fillId="0" borderId="16" xfId="0" applyNumberFormat="1" applyFont="1" applyFill="1" applyBorder="1" applyAlignment="1">
      <alignment horizontal="center"/>
    </xf>
    <xf numFmtId="169" fontId="7" fillId="0" borderId="0" xfId="51" applyNumberFormat="1" applyFont="1" applyFill="1" applyBorder="1"/>
    <xf numFmtId="168" fontId="7" fillId="0" borderId="24" xfId="13" applyNumberFormat="1" applyFont="1" applyFill="1" applyBorder="1" applyAlignment="1">
      <alignment horizontal="right"/>
    </xf>
    <xf numFmtId="0" fontId="14" fillId="0" borderId="0" xfId="51" applyFont="1" applyFill="1" applyBorder="1"/>
    <xf numFmtId="2" fontId="7" fillId="0" borderId="0" xfId="51" applyNumberFormat="1" applyFont="1" applyFill="1" applyBorder="1"/>
    <xf numFmtId="5" fontId="7" fillId="0" borderId="0" xfId="13" applyNumberFormat="1" applyFont="1" applyFill="1" applyBorder="1" applyAlignment="1">
      <alignment horizontal="right"/>
    </xf>
    <xf numFmtId="0" fontId="7" fillId="0" borderId="18" xfId="51" applyFont="1" applyFill="1" applyBorder="1"/>
    <xf numFmtId="0" fontId="13" fillId="0" borderId="9" xfId="51" applyFont="1" applyFill="1" applyBorder="1"/>
    <xf numFmtId="0" fontId="13" fillId="0" borderId="20" xfId="51" applyFont="1" applyFill="1" applyBorder="1"/>
    <xf numFmtId="4" fontId="13" fillId="0" borderId="18" xfId="51" applyNumberFormat="1" applyFont="1" applyFill="1" applyBorder="1"/>
    <xf numFmtId="168" fontId="13" fillId="0" borderId="26" xfId="13" applyNumberFormat="1" applyFont="1" applyFill="1" applyBorder="1" applyAlignment="1">
      <alignment horizontal="right"/>
    </xf>
    <xf numFmtId="0" fontId="13" fillId="0" borderId="14" xfId="51" applyFont="1" applyFill="1" applyBorder="1"/>
    <xf numFmtId="0" fontId="13" fillId="0" borderId="0" xfId="51" applyFont="1" applyFill="1" applyBorder="1" applyAlignment="1">
      <alignment horizontal="right"/>
    </xf>
    <xf numFmtId="44" fontId="7" fillId="0" borderId="24" xfId="13" applyFont="1" applyFill="1" applyBorder="1" applyAlignment="1">
      <alignment horizontal="right"/>
    </xf>
    <xf numFmtId="0" fontId="7" fillId="0" borderId="14" xfId="51" applyFont="1" applyFill="1" applyBorder="1"/>
    <xf numFmtId="44" fontId="13" fillId="0" borderId="20" xfId="51" applyNumberFormat="1" applyFont="1" applyFill="1" applyBorder="1"/>
    <xf numFmtId="0" fontId="7" fillId="0" borderId="0" xfId="51" applyFont="1" applyFill="1" applyBorder="1" applyAlignment="1">
      <alignment horizontal="right"/>
    </xf>
    <xf numFmtId="0" fontId="7" fillId="0" borderId="28" xfId="51" applyFont="1" applyFill="1" applyBorder="1"/>
    <xf numFmtId="0" fontId="7" fillId="0" borderId="21" xfId="51" applyFont="1" applyFill="1" applyBorder="1"/>
    <xf numFmtId="168" fontId="7" fillId="0" borderId="22" xfId="13" applyNumberFormat="1" applyFont="1" applyFill="1" applyBorder="1" applyAlignment="1">
      <alignment horizontal="right"/>
    </xf>
    <xf numFmtId="0" fontId="13" fillId="0" borderId="25" xfId="51" applyFont="1" applyFill="1" applyBorder="1"/>
    <xf numFmtId="0" fontId="7" fillId="0" borderId="6" xfId="51" applyFont="1" applyFill="1" applyBorder="1"/>
    <xf numFmtId="3" fontId="13" fillId="0" borderId="27" xfId="51" applyNumberFormat="1" applyFont="1" applyFill="1" applyBorder="1" applyAlignment="1">
      <alignment horizontal="right"/>
    </xf>
    <xf numFmtId="0" fontId="13" fillId="0" borderId="2" xfId="51" applyFont="1" applyFill="1" applyBorder="1"/>
    <xf numFmtId="0" fontId="13" fillId="0" borderId="3" xfId="51" applyFont="1" applyFill="1" applyBorder="1"/>
    <xf numFmtId="168" fontId="13" fillId="0" borderId="22" xfId="13" applyNumberFormat="1" applyFont="1" applyFill="1" applyBorder="1" applyAlignment="1">
      <alignment horizontal="right"/>
    </xf>
    <xf numFmtId="0" fontId="4" fillId="0" borderId="28" xfId="34" applyFont="1" applyFill="1" applyBorder="1"/>
    <xf numFmtId="9" fontId="4" fillId="0" borderId="21" xfId="34" applyNumberFormat="1" applyFont="1" applyFill="1" applyBorder="1"/>
    <xf numFmtId="10" fontId="4" fillId="0" borderId="21" xfId="35" applyNumberFormat="1" applyFont="1" applyFill="1" applyBorder="1"/>
    <xf numFmtId="0" fontId="4" fillId="0" borderId="21" xfId="34" applyFont="1" applyFill="1" applyBorder="1"/>
    <xf numFmtId="0" fontId="3" fillId="0" borderId="36" xfId="34" applyFont="1" applyFill="1" applyBorder="1"/>
    <xf numFmtId="0" fontId="4" fillId="0" borderId="29" xfId="34" applyFont="1" applyFill="1" applyBorder="1"/>
    <xf numFmtId="0" fontId="4" fillId="0" borderId="11" xfId="34" applyFont="1" applyFill="1" applyBorder="1"/>
    <xf numFmtId="10" fontId="4" fillId="0" borderId="12" xfId="50" applyNumberFormat="1" applyFont="1" applyFill="1" applyBorder="1"/>
    <xf numFmtId="166" fontId="28" fillId="0" borderId="14" xfId="34" applyNumberFormat="1" applyFont="1" applyFill="1" applyBorder="1" applyAlignment="1"/>
    <xf numFmtId="0" fontId="31" fillId="0" borderId="0" xfId="34" applyFont="1" applyFill="1" applyBorder="1"/>
    <xf numFmtId="6" fontId="31" fillId="0" borderId="0" xfId="37" applyNumberFormat="1" applyFont="1" applyFill="1" applyBorder="1" applyAlignment="1">
      <alignment wrapText="1"/>
    </xf>
    <xf numFmtId="2" fontId="31" fillId="0" borderId="0" xfId="34" applyNumberFormat="1" applyFont="1" applyFill="1" applyBorder="1"/>
    <xf numFmtId="6" fontId="31" fillId="0" borderId="0" xfId="37" applyNumberFormat="1" applyFont="1" applyFill="1" applyBorder="1" applyAlignment="1">
      <alignment horizontal="right" wrapText="1"/>
    </xf>
    <xf numFmtId="4" fontId="31" fillId="0" borderId="0" xfId="34" applyNumberFormat="1" applyFont="1" applyFill="1" applyBorder="1"/>
    <xf numFmtId="0" fontId="28" fillId="0" borderId="9" xfId="34" applyFont="1" applyFill="1" applyBorder="1"/>
    <xf numFmtId="0" fontId="28" fillId="0" borderId="20" xfId="34" applyFont="1" applyFill="1" applyBorder="1"/>
    <xf numFmtId="4" fontId="28" fillId="0" borderId="20" xfId="34" applyNumberFormat="1" applyFont="1" applyFill="1" applyBorder="1"/>
    <xf numFmtId="0" fontId="31" fillId="0" borderId="14" xfId="34" applyFont="1" applyFill="1" applyBorder="1"/>
    <xf numFmtId="0" fontId="28" fillId="0" borderId="14" xfId="34" applyFont="1" applyFill="1" applyBorder="1"/>
    <xf numFmtId="0" fontId="28" fillId="0" borderId="0" xfId="34" applyFont="1" applyFill="1" applyBorder="1"/>
    <xf numFmtId="10" fontId="31" fillId="0" borderId="0" xfId="34" applyNumberFormat="1" applyFont="1" applyFill="1" applyBorder="1"/>
    <xf numFmtId="44" fontId="28" fillId="0" borderId="20" xfId="34" applyNumberFormat="1" applyFont="1" applyFill="1" applyBorder="1"/>
    <xf numFmtId="169" fontId="31" fillId="0" borderId="0" xfId="34" applyNumberFormat="1" applyFont="1" applyFill="1" applyBorder="1"/>
    <xf numFmtId="167" fontId="31" fillId="0" borderId="0" xfId="34" applyNumberFormat="1" applyFont="1" applyFill="1" applyBorder="1"/>
    <xf numFmtId="10" fontId="31" fillId="0" borderId="0" xfId="1" applyNumberFormat="1" applyFont="1" applyFill="1" applyBorder="1"/>
    <xf numFmtId="0" fontId="31" fillId="0" borderId="69" xfId="34" applyFont="1" applyFill="1" applyBorder="1"/>
    <xf numFmtId="0" fontId="31" fillId="0" borderId="70" xfId="34" applyFont="1" applyFill="1" applyBorder="1"/>
    <xf numFmtId="169" fontId="31" fillId="0" borderId="70" xfId="34" applyNumberFormat="1" applyFont="1" applyFill="1" applyBorder="1"/>
    <xf numFmtId="167" fontId="31" fillId="0" borderId="70" xfId="34" applyNumberFormat="1" applyFont="1" applyFill="1" applyBorder="1"/>
    <xf numFmtId="0" fontId="28" fillId="0" borderId="19" xfId="34" applyFont="1" applyFill="1" applyBorder="1"/>
    <xf numFmtId="0" fontId="28" fillId="0" borderId="18" xfId="34" applyFont="1" applyFill="1" applyBorder="1"/>
    <xf numFmtId="0" fontId="31" fillId="0" borderId="25" xfId="34" applyFont="1" applyFill="1" applyBorder="1"/>
    <xf numFmtId="9" fontId="31" fillId="0" borderId="6" xfId="34" applyNumberFormat="1" applyFont="1" applyFill="1" applyBorder="1"/>
    <xf numFmtId="10" fontId="31" fillId="0" borderId="6" xfId="35" applyNumberFormat="1" applyFont="1" applyFill="1" applyBorder="1"/>
    <xf numFmtId="0" fontId="31" fillId="0" borderId="6" xfId="34" applyFont="1" applyFill="1" applyBorder="1"/>
    <xf numFmtId="0" fontId="31" fillId="0" borderId="18" xfId="34" applyFont="1" applyFill="1" applyBorder="1"/>
    <xf numFmtId="9" fontId="31" fillId="0" borderId="20" xfId="34" applyNumberFormat="1" applyFont="1" applyFill="1" applyBorder="1"/>
    <xf numFmtId="0" fontId="31" fillId="0" borderId="20" xfId="34" applyFont="1" applyFill="1" applyBorder="1"/>
    <xf numFmtId="9" fontId="31" fillId="0" borderId="0" xfId="34" applyNumberFormat="1" applyFont="1" applyFill="1" applyBorder="1"/>
    <xf numFmtId="0" fontId="31" fillId="0" borderId="23" xfId="34" applyFont="1" applyFill="1" applyBorder="1"/>
    <xf numFmtId="0" fontId="31" fillId="0" borderId="7" xfId="34" applyFont="1" applyFill="1" applyBorder="1"/>
    <xf numFmtId="10" fontId="31" fillId="0" borderId="7" xfId="50" applyNumberFormat="1" applyFont="1" applyFill="1" applyBorder="1"/>
    <xf numFmtId="8" fontId="100" fillId="0" borderId="0" xfId="2" applyNumberFormat="1" applyFont="1" applyFill="1"/>
    <xf numFmtId="8" fontId="15" fillId="0" borderId="0" xfId="0" applyNumberFormat="1" applyFont="1" applyFill="1"/>
    <xf numFmtId="0" fontId="3" fillId="0" borderId="0" xfId="2" applyFont="1" applyFill="1" applyBorder="1" applyAlignment="1">
      <alignment horizontal="center"/>
    </xf>
    <xf numFmtId="0" fontId="101" fillId="0" borderId="0" xfId="2" applyFont="1" applyFill="1" applyBorder="1"/>
    <xf numFmtId="0" fontId="100" fillId="0" borderId="0" xfId="2" applyFont="1" applyFill="1" applyBorder="1" applyAlignment="1">
      <alignment horizontal="center"/>
    </xf>
    <xf numFmtId="0" fontId="100" fillId="0" borderId="0" xfId="2" applyFont="1" applyFill="1" applyBorder="1"/>
    <xf numFmtId="44" fontId="100" fillId="0" borderId="0" xfId="2" applyNumberFormat="1" applyFont="1" applyFill="1"/>
    <xf numFmtId="0" fontId="4" fillId="0" borderId="0" xfId="2" applyFont="1"/>
    <xf numFmtId="165" fontId="4" fillId="3" borderId="37" xfId="3" applyNumberFormat="1" applyFont="1" applyFill="1" applyBorder="1" applyAlignment="1">
      <alignment wrapText="1"/>
    </xf>
    <xf numFmtId="44" fontId="3" fillId="13" borderId="15" xfId="3" applyNumberFormat="1" applyFont="1" applyFill="1" applyBorder="1" applyAlignment="1">
      <alignment wrapText="1"/>
    </xf>
    <xf numFmtId="8" fontId="15" fillId="0" borderId="18" xfId="2" applyNumberFormat="1" applyFont="1" applyBorder="1"/>
    <xf numFmtId="8" fontId="15" fillId="0" borderId="21" xfId="2" applyNumberFormat="1" applyFont="1" applyBorder="1"/>
    <xf numFmtId="8" fontId="16" fillId="4" borderId="11" xfId="2" applyNumberFormat="1" applyFont="1" applyFill="1" applyBorder="1"/>
    <xf numFmtId="165" fontId="4" fillId="0" borderId="0" xfId="3" applyNumberFormat="1" applyFont="1" applyFill="1" applyBorder="1" applyAlignment="1">
      <alignment wrapText="1"/>
    </xf>
    <xf numFmtId="44" fontId="3" fillId="0" borderId="0" xfId="3" applyNumberFormat="1" applyFont="1" applyFill="1" applyBorder="1" applyAlignment="1">
      <alignment wrapText="1"/>
    </xf>
    <xf numFmtId="8" fontId="15" fillId="0" borderId="0" xfId="2" applyNumberFormat="1" applyFont="1" applyFill="1" applyBorder="1"/>
    <xf numFmtId="178" fontId="15" fillId="0" borderId="0" xfId="0" applyNumberFormat="1" applyFont="1" applyFill="1" applyBorder="1"/>
    <xf numFmtId="175" fontId="15" fillId="0" borderId="0" xfId="0" applyNumberFormat="1" applyFont="1" applyFill="1" applyBorder="1"/>
    <xf numFmtId="8" fontId="16" fillId="0" borderId="0" xfId="2" applyNumberFormat="1" applyFont="1" applyFill="1" applyBorder="1"/>
    <xf numFmtId="171" fontId="7" fillId="0" borderId="26" xfId="34" applyNumberFormat="1" applyFont="1" applyFill="1" applyBorder="1"/>
    <xf numFmtId="44" fontId="7" fillId="0" borderId="35" xfId="13" applyFont="1" applyFill="1" applyBorder="1" applyAlignment="1">
      <alignment horizontal="right"/>
    </xf>
  </cellXfs>
  <cellStyles count="302">
    <cellStyle name="20% - Accent1 2" xfId="61"/>
    <cellStyle name="20% - Accent2 2" xfId="62"/>
    <cellStyle name="20% - Accent3 2" xfId="63"/>
    <cellStyle name="20% - Accent4 2" xfId="64"/>
    <cellStyle name="20% - Accent5 2" xfId="65"/>
    <cellStyle name="20% - Accent6 2" xfId="66"/>
    <cellStyle name="40% - Accent1 2" xfId="67"/>
    <cellStyle name="40% - Accent2 2" xfId="68"/>
    <cellStyle name="40% - Accent3 2" xfId="69"/>
    <cellStyle name="40% - Accent4 2" xfId="70"/>
    <cellStyle name="40% - Accent5 2" xfId="71"/>
    <cellStyle name="40% - Accent6 2" xfId="72"/>
    <cellStyle name="60% - Accent1 2" xfId="73"/>
    <cellStyle name="60% - Accent2 2" xfId="74"/>
    <cellStyle name="60% - Accent3 2" xfId="75"/>
    <cellStyle name="60% - Accent4 2" xfId="76"/>
    <cellStyle name="60% - Accent5 2" xfId="77"/>
    <cellStyle name="60% - Accent6 2" xfId="78"/>
    <cellStyle name="Accent1 2" xfId="79"/>
    <cellStyle name="Accent2 2" xfId="80"/>
    <cellStyle name="Accent3 2" xfId="81"/>
    <cellStyle name="Accent4 2" xfId="82"/>
    <cellStyle name="Accent5 2" xfId="83"/>
    <cellStyle name="Accent6 2" xfId="84"/>
    <cellStyle name="Bad 2" xfId="85"/>
    <cellStyle name="Bad 3" xfId="86"/>
    <cellStyle name="Body: normal cell" xfId="87"/>
    <cellStyle name="Calculation 2" xfId="88"/>
    <cellStyle name="Calculation 2 2" xfId="89"/>
    <cellStyle name="Calculation 2 3" xfId="90"/>
    <cellStyle name="Check Cell 2" xfId="91"/>
    <cellStyle name="Comma" xfId="55" builtinId="3"/>
    <cellStyle name="Comma [0] 2" xfId="92"/>
    <cellStyle name="Comma 10" xfId="93"/>
    <cellStyle name="Comma 11" xfId="94"/>
    <cellStyle name="Comma 2" xfId="3"/>
    <cellStyle name="Comma 2 2" xfId="95"/>
    <cellStyle name="Comma 2 2 2" xfId="96"/>
    <cellStyle name="Comma 2 3" xfId="97"/>
    <cellStyle name="Comma 3" xfId="6"/>
    <cellStyle name="Comma 3 2" xfId="7"/>
    <cellStyle name="Comma 3 3" xfId="8"/>
    <cellStyle name="Comma 3 4" xfId="98"/>
    <cellStyle name="Comma 4" xfId="9"/>
    <cellStyle name="Comma 4 2" xfId="99"/>
    <cellStyle name="Comma 5" xfId="10"/>
    <cellStyle name="Comma 5 2" xfId="100"/>
    <cellStyle name="Comma 5 3" xfId="101"/>
    <cellStyle name="Comma 6" xfId="11"/>
    <cellStyle name="Comma 6 2" xfId="102"/>
    <cellStyle name="Comma 7" xfId="103"/>
    <cellStyle name="Comma 7 2" xfId="104"/>
    <cellStyle name="Comma 8" xfId="105"/>
    <cellStyle name="Comma 9" xfId="106"/>
    <cellStyle name="Currency" xfId="296" builtinId="4"/>
    <cellStyle name="Currency [0] 2" xfId="107"/>
    <cellStyle name="Currency 10" xfId="108"/>
    <cellStyle name="Currency 11" xfId="109"/>
    <cellStyle name="Currency 12" xfId="110"/>
    <cellStyle name="Currency 13" xfId="111"/>
    <cellStyle name="Currency 14" xfId="112"/>
    <cellStyle name="Currency 15" xfId="113"/>
    <cellStyle name="Currency 16" xfId="114"/>
    <cellStyle name="Currency 17" xfId="115"/>
    <cellStyle name="Currency 18" xfId="116"/>
    <cellStyle name="Currency 19" xfId="117"/>
    <cellStyle name="Currency 2" xfId="12"/>
    <cellStyle name="Currency 2 2" xfId="13"/>
    <cellStyle name="Currency 2 2 2" xfId="118"/>
    <cellStyle name="Currency 2 2 2 2" xfId="119"/>
    <cellStyle name="Currency 2 2 2 3" xfId="120"/>
    <cellStyle name="Currency 2 3" xfId="121"/>
    <cellStyle name="Currency 2 4" xfId="122"/>
    <cellStyle name="Currency 2 4 2" xfId="123"/>
    <cellStyle name="Currency 2 5" xfId="124"/>
    <cellStyle name="Currency 20" xfId="125"/>
    <cellStyle name="Currency 21" xfId="126"/>
    <cellStyle name="Currency 22" xfId="127"/>
    <cellStyle name="Currency 23" xfId="128"/>
    <cellStyle name="Currency 24" xfId="129"/>
    <cellStyle name="Currency 25" xfId="130"/>
    <cellStyle name="Currency 26" xfId="131"/>
    <cellStyle name="Currency 27" xfId="132"/>
    <cellStyle name="Currency 28" xfId="133"/>
    <cellStyle name="Currency 29" xfId="134"/>
    <cellStyle name="Currency 3" xfId="14"/>
    <cellStyle name="Currency 3 2" xfId="15"/>
    <cellStyle name="Currency 3 3" xfId="135"/>
    <cellStyle name="Currency 3 4" xfId="136"/>
    <cellStyle name="Currency 3 5" xfId="137"/>
    <cellStyle name="Currency 30" xfId="138"/>
    <cellStyle name="Currency 31" xfId="139"/>
    <cellStyle name="Currency 32" xfId="140"/>
    <cellStyle name="Currency 33" xfId="141"/>
    <cellStyle name="Currency 34" xfId="142"/>
    <cellStyle name="Currency 35" xfId="143"/>
    <cellStyle name="Currency 36" xfId="144"/>
    <cellStyle name="Currency 37" xfId="145"/>
    <cellStyle name="Currency 38" xfId="146"/>
    <cellStyle name="Currency 39" xfId="147"/>
    <cellStyle name="Currency 4" xfId="16"/>
    <cellStyle name="Currency 4 2" xfId="17"/>
    <cellStyle name="Currency 4 2 2" xfId="148"/>
    <cellStyle name="Currency 4 2 2 2" xfId="149"/>
    <cellStyle name="Currency 4 2 2 3" xfId="150"/>
    <cellStyle name="Currency 4 2 3" xfId="151"/>
    <cellStyle name="Currency 4 3" xfId="152"/>
    <cellStyle name="Currency 4 3 2" xfId="153"/>
    <cellStyle name="Currency 4 3 3" xfId="154"/>
    <cellStyle name="Currency 4 4" xfId="155"/>
    <cellStyle name="Currency 4 5" xfId="156"/>
    <cellStyle name="Currency 40" xfId="157"/>
    <cellStyle name="Currency 41" xfId="158"/>
    <cellStyle name="Currency 42" xfId="159"/>
    <cellStyle name="Currency 43" xfId="160"/>
    <cellStyle name="Currency 44" xfId="161"/>
    <cellStyle name="Currency 45" xfId="162"/>
    <cellStyle name="Currency 46" xfId="163"/>
    <cellStyle name="Currency 5" xfId="4"/>
    <cellStyle name="Currency 5 2" xfId="18"/>
    <cellStyle name="Currency 5 2 2" xfId="164"/>
    <cellStyle name="Currency 5 3" xfId="36"/>
    <cellStyle name="Currency 5 3 2" xfId="53"/>
    <cellStyle name="Currency 5 3 3" xfId="165"/>
    <cellStyle name="Currency 5 4" xfId="166"/>
    <cellStyle name="Currency 5 5" xfId="167"/>
    <cellStyle name="Currency 5 6" xfId="168"/>
    <cellStyle name="Currency 6" xfId="38"/>
    <cellStyle name="Currency 6 2" xfId="169"/>
    <cellStyle name="Currency 6 3" xfId="170"/>
    <cellStyle name="Currency 7" xfId="39"/>
    <cellStyle name="Currency 7 2" xfId="171"/>
    <cellStyle name="Currency 7 3" xfId="172"/>
    <cellStyle name="Currency 8" xfId="33"/>
    <cellStyle name="Currency 8 2" xfId="173"/>
    <cellStyle name="Currency 9" xfId="174"/>
    <cellStyle name="Explanatory Text 2" xfId="175"/>
    <cellStyle name="Explanatory Text 2 2" xfId="176"/>
    <cellStyle name="Explanatory Text 2 3" xfId="177"/>
    <cellStyle name="Font: Calibri, 9pt regular" xfId="178"/>
    <cellStyle name="Footnotes: top row" xfId="179"/>
    <cellStyle name="Good 2" xfId="180"/>
    <cellStyle name="Header: bottom row" xfId="181"/>
    <cellStyle name="Heading 1 2" xfId="182"/>
    <cellStyle name="Heading 1 2 2" xfId="183"/>
    <cellStyle name="Heading 1 2 3" xfId="184"/>
    <cellStyle name="Heading 2 2" xfId="185"/>
    <cellStyle name="Heading 2 2 2" xfId="186"/>
    <cellStyle name="Heading 2 2 3" xfId="187"/>
    <cellStyle name="Heading 3 2" xfId="188"/>
    <cellStyle name="Heading 3 2 2" xfId="189"/>
    <cellStyle name="Heading 3 2 3" xfId="190"/>
    <cellStyle name="Heading 4 2" xfId="191"/>
    <cellStyle name="Heading 4 2 2" xfId="192"/>
    <cellStyle name="Heading 4 2 3" xfId="193"/>
    <cellStyle name="Hyperlink 2" xfId="194"/>
    <cellStyle name="Input 2" xfId="195"/>
    <cellStyle name="Input 2 2" xfId="196"/>
    <cellStyle name="Input 2 3" xfId="197"/>
    <cellStyle name="Linked Cell 2" xfId="198"/>
    <cellStyle name="Linked Cell 2 2" xfId="199"/>
    <cellStyle name="Linked Cell 2 3" xfId="200"/>
    <cellStyle name="Neutral 2" xfId="201"/>
    <cellStyle name="Normal" xfId="0" builtinId="0"/>
    <cellStyle name="Normal 10" xfId="2"/>
    <cellStyle name="Normal 10 2" xfId="202"/>
    <cellStyle name="Normal 10 3" xfId="203"/>
    <cellStyle name="Normal 10 3 2" xfId="204"/>
    <cellStyle name="Normal 11" xfId="60"/>
    <cellStyle name="Normal 11 2" xfId="205"/>
    <cellStyle name="Normal 11 2 2" xfId="206"/>
    <cellStyle name="Normal 12" xfId="207"/>
    <cellStyle name="Normal 13" xfId="208"/>
    <cellStyle name="Normal 13 2" xfId="209"/>
    <cellStyle name="Normal 14" xfId="210"/>
    <cellStyle name="Normal 14 2" xfId="211"/>
    <cellStyle name="Normal 15" xfId="212"/>
    <cellStyle name="Normal 16" xfId="213"/>
    <cellStyle name="Normal 17" xfId="214"/>
    <cellStyle name="Normal 17 2" xfId="215"/>
    <cellStyle name="Normal 18" xfId="216"/>
    <cellStyle name="Normal 18 2" xfId="299"/>
    <cellStyle name="Normal 19" xfId="217"/>
    <cellStyle name="Normal 2" xfId="19"/>
    <cellStyle name="Normal 2 2" xfId="20"/>
    <cellStyle name="Normal 2 2 2" xfId="40"/>
    <cellStyle name="Normal 2 2 2 2" xfId="298"/>
    <cellStyle name="Normal 2 2 3" xfId="218"/>
    <cellStyle name="Normal 2 3" xfId="41"/>
    <cellStyle name="Normal 2 3 2" xfId="219"/>
    <cellStyle name="Normal 2 4" xfId="59"/>
    <cellStyle name="Normal 2 4 2" xfId="220"/>
    <cellStyle name="Normal 2 4 3" xfId="221"/>
    <cellStyle name="Normal 2 5" xfId="222"/>
    <cellStyle name="Normal 2 5 2" xfId="223"/>
    <cellStyle name="Normal 20" xfId="224"/>
    <cellStyle name="Normal 21" xfId="225"/>
    <cellStyle name="Normal 22" xfId="295"/>
    <cellStyle name="Normal 23" xfId="301"/>
    <cellStyle name="Normal 3" xfId="21"/>
    <cellStyle name="Normal 3 2" xfId="22"/>
    <cellStyle name="Normal 3 2 2" xfId="226"/>
    <cellStyle name="Normal 3 2 3" xfId="227"/>
    <cellStyle name="Normal 3 2 4" xfId="228"/>
    <cellStyle name="Normal 3 3" xfId="229"/>
    <cellStyle name="Normal 3 3 2" xfId="230"/>
    <cellStyle name="Normal 3 4" xfId="231"/>
    <cellStyle name="Normal 3 4 2" xfId="232"/>
    <cellStyle name="Normal 3 5" xfId="233"/>
    <cellStyle name="Normal 3 9" xfId="234"/>
    <cellStyle name="Normal 4" xfId="23"/>
    <cellStyle name="Normal 4 2" xfId="24"/>
    <cellStyle name="Normal 4 2 2" xfId="34"/>
    <cellStyle name="Normal 4 2 2 2" xfId="51"/>
    <cellStyle name="Normal 4 2 3" xfId="235"/>
    <cellStyle name="Normal 4 2 3 2" xfId="236"/>
    <cellStyle name="Normal 4 3" xfId="237"/>
    <cellStyle name="Normal 4 3 2" xfId="238"/>
    <cellStyle name="Normal 4 3 3" xfId="239"/>
    <cellStyle name="Normal 4 4" xfId="240"/>
    <cellStyle name="Normal 5" xfId="25"/>
    <cellStyle name="Normal 5 2" xfId="42"/>
    <cellStyle name="Normal 5 3" xfId="300"/>
    <cellStyle name="Normal 6" xfId="26"/>
    <cellStyle name="Normal 6 2" xfId="43"/>
    <cellStyle name="Normal 6 2 2" xfId="241"/>
    <cellStyle name="Normal 6 2 2 2" xfId="242"/>
    <cellStyle name="Normal 6 2 3" xfId="243"/>
    <cellStyle name="Normal 6 2 4" xfId="244"/>
    <cellStyle name="Normal 6 3" xfId="56"/>
    <cellStyle name="Normal 6 4" xfId="245"/>
    <cellStyle name="Normal 7" xfId="27"/>
    <cellStyle name="Normal 7 2" xfId="44"/>
    <cellStyle name="Normal 7 3" xfId="246"/>
    <cellStyle name="Normal 8" xfId="28"/>
    <cellStyle name="Normal 8 2" xfId="45"/>
    <cellStyle name="Normal 8 3" xfId="57"/>
    <cellStyle name="Normal 8 4" xfId="247"/>
    <cellStyle name="Normal 8 5" xfId="248"/>
    <cellStyle name="Normal 9" xfId="32"/>
    <cellStyle name="Normal 9 2" xfId="37"/>
    <cellStyle name="Normal 9 2 2" xfId="54"/>
    <cellStyle name="Normal 9 2 3" xfId="249"/>
    <cellStyle name="Normal 9 3" xfId="58"/>
    <cellStyle name="Normal_Materials for SA Meeting 071813 2" xfId="297"/>
    <cellStyle name="Note 2" xfId="46"/>
    <cellStyle name="Note 2 2" xfId="250"/>
    <cellStyle name="Note 2 3" xfId="251"/>
    <cellStyle name="Output 2" xfId="252"/>
    <cellStyle name="Output 2 2" xfId="253"/>
    <cellStyle name="Output 2 3" xfId="254"/>
    <cellStyle name="Parent row" xfId="255"/>
    <cellStyle name="Percent" xfId="1" builtinId="5"/>
    <cellStyle name="Percent 10" xfId="256"/>
    <cellStyle name="Percent 10 2" xfId="257"/>
    <cellStyle name="Percent 11" xfId="258"/>
    <cellStyle name="Percent 2" xfId="5"/>
    <cellStyle name="Percent 2 2" xfId="47"/>
    <cellStyle name="Percent 2 2 2" xfId="259"/>
    <cellStyle name="Percent 2 2 3" xfId="260"/>
    <cellStyle name="Percent 2 3" xfId="261"/>
    <cellStyle name="Percent 2 4" xfId="262"/>
    <cellStyle name="Percent 2 5" xfId="263"/>
    <cellStyle name="Percent 3" xfId="29"/>
    <cellStyle name="Percent 3 2" xfId="264"/>
    <cellStyle name="Percent 3 2 2" xfId="265"/>
    <cellStyle name="Percent 3 2 3" xfId="266"/>
    <cellStyle name="Percent 3 3" xfId="267"/>
    <cellStyle name="Percent 4" xfId="30"/>
    <cellStyle name="Percent 4 2" xfId="48"/>
    <cellStyle name="Percent 4 2 2" xfId="268"/>
    <cellStyle name="Percent 4 2 3" xfId="269"/>
    <cellStyle name="Percent 4 3" xfId="270"/>
    <cellStyle name="Percent 5" xfId="31"/>
    <cellStyle name="Percent 5 2" xfId="35"/>
    <cellStyle name="Percent 5 2 2" xfId="52"/>
    <cellStyle name="Percent 5 3" xfId="271"/>
    <cellStyle name="Percent 5 4" xfId="272"/>
    <cellStyle name="Percent 5 5" xfId="273"/>
    <cellStyle name="Percent 6" xfId="49"/>
    <cellStyle name="Percent 6 2" xfId="274"/>
    <cellStyle name="Percent 6 3" xfId="275"/>
    <cellStyle name="Percent 6 4" xfId="276"/>
    <cellStyle name="Percent 7" xfId="50"/>
    <cellStyle name="Percent 7 2" xfId="277"/>
    <cellStyle name="Percent 7 3" xfId="278"/>
    <cellStyle name="Percent 7 4" xfId="279"/>
    <cellStyle name="Percent 8" xfId="280"/>
    <cellStyle name="Percent 8 2" xfId="281"/>
    <cellStyle name="Percent 8 3" xfId="282"/>
    <cellStyle name="Percent 9" xfId="283"/>
    <cellStyle name="Percent 9 2" xfId="284"/>
    <cellStyle name="Table title" xfId="285"/>
    <cellStyle name="Title 2" xfId="286"/>
    <cellStyle name="Title 2 2" xfId="287"/>
    <cellStyle name="Title 2 3" xfId="288"/>
    <cellStyle name="Total 2" xfId="289"/>
    <cellStyle name="Total 2 2" xfId="290"/>
    <cellStyle name="Total 2 3" xfId="291"/>
    <cellStyle name="Warning Text 2" xfId="292"/>
    <cellStyle name="Warning Text 2 2" xfId="293"/>
    <cellStyle name="Warning Text 2 3" xfId="294"/>
  </cellStyles>
  <dxfs count="0"/>
  <tableStyles count="0" defaultTableStyle="TableStyleMedium2" defaultPivotStyle="PivotStyleLight16"/>
  <colors>
    <mruColors>
      <color rgb="FF0066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22514</xdr:colOff>
      <xdr:row>30</xdr:row>
      <xdr:rowOff>25978</xdr:rowOff>
    </xdr:from>
    <xdr:ext cx="4649931" cy="1575954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628650" y="5074228"/>
          <a:ext cx="4649931" cy="1575954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latin typeface="+mn-lt"/>
            </a:rPr>
            <a:t>2020 Updates: </a:t>
          </a:r>
        </a:p>
        <a:p>
          <a:r>
            <a:rPr lang="en-US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1) Rebase of prior expenses with CAF  2.56%.</a:t>
          </a:r>
          <a:r>
            <a:rPr lang="en-US" sz="1000">
              <a:latin typeface="+mn-lt"/>
            </a:rPr>
            <a:t> </a:t>
          </a:r>
        </a:p>
        <a:p>
          <a:r>
            <a:rPr lang="en-US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Benchmarked ( Clinical Sup, DC, support staff) to  BLS /OES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PFMLA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0.37% added 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4) T&amp;F Standard acoss all c.257 models to 2.40%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5) CAF current period 2.40% (not on salaries)</a:t>
          </a:r>
          <a:endParaRPr lang="en-US">
            <a:effectLst/>
          </a:endParaRPr>
        </a:p>
        <a:p>
          <a:endParaRPr lang="en-US" sz="1100" b="1"/>
        </a:p>
        <a:p>
          <a:endParaRPr lang="en-US" sz="1100" b="1"/>
        </a:p>
        <a:p>
          <a:endParaRPr lang="en-US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180974</xdr:colOff>
      <xdr:row>11</xdr:row>
      <xdr:rowOff>133349</xdr:rowOff>
    </xdr:from>
    <xdr:ext cx="3819525" cy="1323975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0467974" y="2143124"/>
          <a:ext cx="3819525" cy="1323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/>
            <a:t>Kara - Will need to  update if we change the Case Mgmt MA Lvl </a:t>
          </a:r>
        </a:p>
        <a:p>
          <a:r>
            <a:rPr lang="en-US" sz="1100"/>
            <a:t>rate to align with the Outpatient Counseling rate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922020</xdr:colOff>
      <xdr:row>75</xdr:row>
      <xdr:rowOff>83820</xdr:rowOff>
    </xdr:from>
    <xdr:ext cx="4246484" cy="609013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513320" y="13738860"/>
          <a:ext cx="4246484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Kara - the FI is off a little</a:t>
          </a:r>
          <a:r>
            <a:rPr lang="en-US" sz="1100" baseline="0"/>
            <a:t> b/c we are using FY19 money when</a:t>
          </a:r>
        </a:p>
        <a:p>
          <a:r>
            <a:rPr lang="en-US" sz="1100" baseline="0"/>
            <a:t>in reality the same units in FY20 would have yeilded a larger spend and</a:t>
          </a:r>
        </a:p>
        <a:p>
          <a:r>
            <a:rPr lang="en-US" sz="1100" baseline="0"/>
            <a:t>therefore a smaller FI</a:t>
          </a:r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43</xdr:row>
      <xdr:rowOff>152400</xdr:rowOff>
    </xdr:from>
    <xdr:ext cx="4524374" cy="141605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682626" y="7315200"/>
          <a:ext cx="4524374" cy="1416050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/>
            <a:t>2020 Updates: 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1) Rebase of prior expenses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with CAF 2.56%.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Benchmarked ( Clinical Sup, DC, support staff) to  BLS /OES 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3) PFMLA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0.37% added 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4) T&amp;F Standard acoss all c.257 models-22.40%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5) CAF current period 2.40% (not on salaries)</a:t>
          </a:r>
          <a:endParaRPr lang="en-US">
            <a:effectLst/>
          </a:endParaRPr>
        </a:p>
        <a:p>
          <a:r>
            <a:rPr lang="en-US" sz="1100" b="0">
              <a:solidFill>
                <a:srgbClr val="FF0000"/>
              </a:solidFill>
            </a:rPr>
            <a:t>6) Changed</a:t>
          </a:r>
          <a:r>
            <a:rPr lang="en-US" sz="1100" b="0" baseline="0">
              <a:solidFill>
                <a:srgbClr val="FF0000"/>
              </a:solidFill>
            </a:rPr>
            <a:t> Clinical Supervisor (LICSW) to 0.10 FTE</a:t>
          </a:r>
          <a:endParaRPr lang="en-US" sz="1100" b="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</xdr:colOff>
      <xdr:row>40</xdr:row>
      <xdr:rowOff>123825</xdr:rowOff>
    </xdr:from>
    <xdr:ext cx="4684395" cy="158115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11505" y="6810375"/>
          <a:ext cx="4684395" cy="1581150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2020 updates: 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1) Rebase of prior expenses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with CAF 2.56%.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Benchmarked ( Clinical Sup, DC, support staff) to  BLS /OES 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3) PFMLA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0.37% added 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4) T&amp;F Standard acoss all c.257 models-22.40%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5) CAF current period 2.40% (not on salaries)</a:t>
          </a:r>
          <a:endParaRPr lang="en-US"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59531</xdr:colOff>
      <xdr:row>44</xdr:row>
      <xdr:rowOff>154781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7831931" y="8489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57149</xdr:colOff>
      <xdr:row>28</xdr:row>
      <xdr:rowOff>0</xdr:rowOff>
    </xdr:from>
    <xdr:to>
      <xdr:col>6</xdr:col>
      <xdr:colOff>57149</xdr:colOff>
      <xdr:row>36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57149" y="4572000"/>
          <a:ext cx="6886575" cy="13144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900"/>
            </a:lnSpc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Recovery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Coaching Model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>
            <a:lnSpc>
              <a:spcPct val="100000"/>
            </a:lnSpc>
          </a:pPr>
          <a:r>
            <a:rPr lang="en-US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● </a:t>
          </a:r>
          <a:r>
            <a:rPr lang="en-US" sz="1000" b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Tax,</a:t>
          </a:r>
          <a:r>
            <a:rPr lang="en-US" sz="1000" b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000" b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Fringe</a:t>
          </a:r>
          <a:r>
            <a:rPr lang="en-US" sz="100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000" b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and</a:t>
          </a:r>
          <a:r>
            <a:rPr lang="en-US" sz="100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000" b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Admin  are standard across all </a:t>
          </a:r>
          <a:r>
            <a:rPr lang="en-US" sz="1000" b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models. </a:t>
          </a:r>
          <a:endParaRPr lang="en-US" sz="10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ct val="100000"/>
            </a:lnSpc>
          </a:pPr>
          <a:r>
            <a:rPr lang="en-US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● </a:t>
          </a:r>
          <a:r>
            <a:rPr lang="en-US" sz="1000" b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</a:t>
          </a:r>
          <a:r>
            <a:rPr lang="en-US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roductivity standard of 1,281 calculated by taking the standard 2080 and backing out 799 non -direct service hours made up of:  3 wks vacation, 2 wks sick &amp; personal, 10 days holiday time, 3 days training, </a:t>
          </a:r>
          <a:r>
            <a:rPr lang="en-US" sz="1000" b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7.5 hrs/wk travel, 1/hr every other wk supervision and 3 hrs/wk administrative paperwork . </a:t>
          </a:r>
          <a:endParaRPr lang="en-US" sz="1000" b="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1100"/>
            </a:lnSpc>
          </a:pPr>
          <a:r>
            <a:rPr lang="en-US" sz="1000" b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● T</a:t>
          </a:r>
          <a:r>
            <a:rPr lang="en-US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ravel </a:t>
          </a:r>
          <a:r>
            <a:rPr lang="en-US" sz="1000" b="0" i="0" u="none" strike="noStrike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was </a:t>
          </a:r>
          <a:r>
            <a:rPr lang="en-US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broken out by</a:t>
          </a:r>
          <a:r>
            <a:rPr lang="en-US" sz="1000" b="0" i="0" u="none" strike="noStrike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calculating travel at 5 days for 45 weeks at a rate of 0.48 cents per mile and a total mileage of 50 miles per day, plus rebased CAFs</a:t>
          </a:r>
        </a:p>
      </xdr:txBody>
    </xdr:sp>
    <xdr:clientData/>
  </xdr:twoCellAnchor>
  <xdr:oneCellAnchor>
    <xdr:from>
      <xdr:col>0</xdr:col>
      <xdr:colOff>234314</xdr:colOff>
      <xdr:row>37</xdr:row>
      <xdr:rowOff>123826</xdr:rowOff>
    </xdr:from>
    <xdr:ext cx="4832985" cy="165735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234314" y="6334126"/>
          <a:ext cx="4832985" cy="1657350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2020 updates: 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1) Rebase of prior expenses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with CAF 2.56%.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Benchmarked ( Clinical Sup, DC, support staff) to  BLS /OES 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3) PFMLA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0.37% added 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4) T&amp;F Standard acoss all c.257 models-22.40%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5) CAF current period 2.40% (not on salaries)</a:t>
          </a:r>
          <a:endParaRPr lang="en-US"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Villacorta\Downloads\FINAL%20ANALYSIS%20Counseling%20Rate%20Options%20071913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istrative%20Services-POS%20Policy%20Office\Admin%20&amp;%20Staff\Kara\Workforce%20Initiatives\3.%20Benchmark%20Analysis%2010.18.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Solimini\AppData\Local\Microsoft\Windows\Temporary%20Internet%20Files\Content.Outlook\VPTTPB14\Recovery%20Coach%20R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_Pricing\POS\Year%203%20Projects\Year%203%20Plan\Service%20Classes\Youth%20Intermediate%20Term%20Stabilization\3470%20DPH%20BSAS%20Youth%20Residential\YITS-DPH\YITS_DPH_Yr%203%20review_FY2010-2011_General%20Analysi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SubAbuse\2012\Data\Outpatient%20Counseling%20&amp;%20Other%20Related\Counseling%20Rate%20Options%20MARCH%2018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HNaciri\Downloads\Resi%20Rehab%203386&amp;3401%20122613%20330pm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W_Pricing\SubAbuse\2013\Resi%20Rehab\Data\Resi%20Rehab%20_All%20Codes%20Analysis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ass.gov/E/X/Data%20&amp;%20Reporting%20Tools/STARR%20Utilization/STARR%20Utilization%20Tool%20FY10%20Jun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DC I &amp; II"/>
      <sheetName val="DC II ks"/>
      <sheetName val="DC III "/>
      <sheetName val="CNA"/>
      <sheetName val="Caseworker BA"/>
      <sheetName val="Casemanager MA "/>
      <sheetName val="Clinician w indep Lic"/>
      <sheetName val="Clinical Manager"/>
      <sheetName val="LPN"/>
      <sheetName val="BS RN"/>
      <sheetName val="MS RN. APRN"/>
    </sheetNames>
    <sheetDataSet>
      <sheetData sheetId="0"/>
      <sheetData sheetId="1">
        <row r="12">
          <cell r="J12">
            <v>16.796506410256413</v>
          </cell>
        </row>
      </sheetData>
      <sheetData sheetId="2" refreshError="1"/>
      <sheetData sheetId="3">
        <row r="11">
          <cell r="J11">
            <v>20.893115384615385</v>
          </cell>
        </row>
      </sheetData>
      <sheetData sheetId="4">
        <row r="13">
          <cell r="L13">
            <v>16.170000000000002</v>
          </cell>
        </row>
      </sheetData>
      <sheetData sheetId="5">
        <row r="9">
          <cell r="J9">
            <v>22.073999999999998</v>
          </cell>
        </row>
      </sheetData>
      <sheetData sheetId="6">
        <row r="13">
          <cell r="J13">
            <v>26.866666666666664</v>
          </cell>
        </row>
      </sheetData>
      <sheetData sheetId="7">
        <row r="13">
          <cell r="O13">
            <v>30.101111111111109</v>
          </cell>
        </row>
      </sheetData>
      <sheetData sheetId="8">
        <row r="6">
          <cell r="I6">
            <v>42.94</v>
          </cell>
        </row>
      </sheetData>
      <sheetData sheetId="9">
        <row r="6">
          <cell r="H6">
            <v>28.36</v>
          </cell>
        </row>
      </sheetData>
      <sheetData sheetId="10">
        <row r="16">
          <cell r="K16">
            <v>44.3</v>
          </cell>
        </row>
      </sheetData>
      <sheetData sheetId="11">
        <row r="15">
          <cell r="K15">
            <v>59.01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y Coaching(1-1-18)"/>
      <sheetName val="Proposed Rate"/>
      <sheetName val="POS Benchmarks"/>
      <sheetName val="POS Other Inputs"/>
      <sheetName val="MA-CPI(Spring2020)(update)"/>
    </sheetNames>
    <sheetDataSet>
      <sheetData sheetId="0"/>
      <sheetData sheetId="1"/>
      <sheetData sheetId="2">
        <row r="8">
          <cell r="C8">
            <v>41516.800000000003</v>
          </cell>
        </row>
      </sheetData>
      <sheetData sheetId="3">
        <row r="12">
          <cell r="B12" t="str">
            <v>Program Management</v>
          </cell>
        </row>
        <row r="14">
          <cell r="B14" t="str">
            <v>Recovery Coach</v>
          </cell>
        </row>
        <row r="15">
          <cell r="B15" t="str">
            <v>Support Staffing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Total Expenses=YR1 rate"/>
      <sheetName val="RateOptions"/>
      <sheetName val="GeogVar"/>
      <sheetName val="CostDrivers"/>
      <sheetName val="CostSummary"/>
      <sheetName val="CleanData"/>
      <sheetName val="RawDataCalcs"/>
      <sheetName val="RawContractData"/>
      <sheetName val="Source"/>
      <sheetName val="Benchmark Statistics"/>
      <sheetName val="CleanData (2)"/>
      <sheetName val="RawDataCalcs (2)"/>
      <sheetName val="Lookups"/>
      <sheetName val="Source1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Z4">
            <v>65246</v>
          </cell>
        </row>
      </sheetData>
      <sheetData sheetId="7">
        <row r="4">
          <cell r="A4" t="str">
            <v>Community Healthlink, Inc.</v>
          </cell>
        </row>
        <row r="12">
          <cell r="L12">
            <v>0</v>
          </cell>
          <cell r="M12">
            <v>0.47942206821686489</v>
          </cell>
          <cell r="N12">
            <v>0.59107516603638444</v>
          </cell>
          <cell r="O12">
            <v>0</v>
          </cell>
          <cell r="P12">
            <v>0.14716929384611976</v>
          </cell>
          <cell r="Q12">
            <v>0.77728942548679902</v>
          </cell>
          <cell r="R12">
            <v>3.9793460642052985</v>
          </cell>
          <cell r="S12">
            <v>0</v>
          </cell>
          <cell r="T12">
            <v>6.8799860627629245E-2</v>
          </cell>
          <cell r="U12">
            <v>0</v>
          </cell>
          <cell r="V12">
            <v>0</v>
          </cell>
          <cell r="W12">
            <v>5.5124194334010168E-2</v>
          </cell>
          <cell r="X12">
            <v>0.10885459283877919</v>
          </cell>
          <cell r="Y12">
            <v>2.6944466327065229E-2</v>
          </cell>
          <cell r="Z12">
            <v>37657.202763269961</v>
          </cell>
          <cell r="AA12">
            <v>41481.381742527206</v>
          </cell>
          <cell r="AB12">
            <v>0</v>
          </cell>
          <cell r="AC12">
            <v>23180.701871100842</v>
          </cell>
          <cell r="AD12">
            <v>0</v>
          </cell>
          <cell r="AE12">
            <v>0</v>
          </cell>
          <cell r="AF12">
            <v>17680</v>
          </cell>
          <cell r="AG12">
            <v>30932.575823280509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17680</v>
          </cell>
          <cell r="AO12">
            <v>34886.084346898184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29311.548012080879</v>
          </cell>
          <cell r="AX12">
            <v>24465.648402802188</v>
          </cell>
          <cell r="AY12">
            <v>0</v>
          </cell>
          <cell r="AZ12">
            <v>0</v>
          </cell>
          <cell r="BA12">
            <v>17680</v>
          </cell>
          <cell r="BB12">
            <v>0</v>
          </cell>
          <cell r="BC12">
            <v>19175.405214616003</v>
          </cell>
          <cell r="BD12">
            <v>30701.478943232476</v>
          </cell>
          <cell r="BE12">
            <v>17680</v>
          </cell>
          <cell r="BF12">
            <v>17680</v>
          </cell>
          <cell r="BG12">
            <v>20600.958294636763</v>
          </cell>
          <cell r="BH12">
            <v>17680</v>
          </cell>
          <cell r="BI12">
            <v>17680</v>
          </cell>
          <cell r="BJ12">
            <v>17680</v>
          </cell>
          <cell r="BK12">
            <v>0</v>
          </cell>
          <cell r="BL12">
            <v>26322.226006430636</v>
          </cell>
          <cell r="BM12">
            <v>17680</v>
          </cell>
          <cell r="BN12">
            <v>38685.831484193477</v>
          </cell>
          <cell r="BO12">
            <v>23961.524385988574</v>
          </cell>
          <cell r="BP12">
            <v>30587.443549548538</v>
          </cell>
          <cell r="BQ12">
            <v>30374.501516037635</v>
          </cell>
          <cell r="BR12">
            <v>24065.321450444375</v>
          </cell>
          <cell r="BS12">
            <v>17680</v>
          </cell>
          <cell r="BT12">
            <v>31503.545017618279</v>
          </cell>
          <cell r="BU12">
            <v>0.10875010040212529</v>
          </cell>
          <cell r="BV12">
            <v>-665.86045161233085</v>
          </cell>
          <cell r="BW12">
            <v>30515.853243324513</v>
          </cell>
          <cell r="BX12">
            <v>-16660.640829909837</v>
          </cell>
          <cell r="BY12">
            <v>-9135.1790957685735</v>
          </cell>
          <cell r="BZ12">
            <v>32296.395852713424</v>
          </cell>
          <cell r="CA12">
            <v>334845.21992346627</v>
          </cell>
          <cell r="CB12">
            <v>0.10234530988206607</v>
          </cell>
          <cell r="CC12">
            <v>28765.51864806415</v>
          </cell>
          <cell r="CD12">
            <v>-5284.7957360897844</v>
          </cell>
          <cell r="CE12">
            <v>-25513.097684307293</v>
          </cell>
          <cell r="CF12">
            <v>-18906.352557716724</v>
          </cell>
          <cell r="CG12">
            <v>104276.06801952093</v>
          </cell>
          <cell r="CH12">
            <v>-14888.551594883442</v>
          </cell>
          <cell r="CI12">
            <v>216681.70258684226</v>
          </cell>
          <cell r="CJ12">
            <v>30515.853243324513</v>
          </cell>
          <cell r="CK12">
            <v>37966.399759004111</v>
          </cell>
          <cell r="CL12">
            <v>-9135.1790957685735</v>
          </cell>
          <cell r="CM12">
            <v>-8350.2509393528308</v>
          </cell>
          <cell r="CN12">
            <v>32296.395852713424</v>
          </cell>
          <cell r="CO12">
            <v>349550.20301367302</v>
          </cell>
          <cell r="CP12">
            <v>0.42294613762647371</v>
          </cell>
          <cell r="CQ12">
            <v>7.35905594988258E-2</v>
          </cell>
          <cell r="CR12">
            <v>8.2962594909753024E-2</v>
          </cell>
          <cell r="CS12">
            <v>1.7892516626277867E-2</v>
          </cell>
          <cell r="CT12">
            <v>-2.4732885317140137E-3</v>
          </cell>
          <cell r="CU12">
            <v>0.10586298753888759</v>
          </cell>
          <cell r="CV12">
            <v>42.600838212563545</v>
          </cell>
          <cell r="CW12">
            <v>5.3071657252094475</v>
          </cell>
          <cell r="CX12">
            <v>9.4706980108063252</v>
          </cell>
          <cell r="CY12">
            <v>-1.1700110965968467</v>
          </cell>
          <cell r="CZ12">
            <v>0.97393317189613549</v>
          </cell>
          <cell r="DA12">
            <v>13.160797782723682</v>
          </cell>
          <cell r="DB12">
            <v>80.826561365641552</v>
          </cell>
        </row>
        <row r="13">
          <cell r="L13">
            <v>22.480065146407</v>
          </cell>
          <cell r="M13">
            <v>1.0747456362248122</v>
          </cell>
          <cell r="N13">
            <v>2.7329248339636161</v>
          </cell>
          <cell r="O13">
            <v>0.29078784028338911</v>
          </cell>
          <cell r="P13">
            <v>3.2028307061538803</v>
          </cell>
          <cell r="Q13">
            <v>1.222710574513201</v>
          </cell>
          <cell r="R13">
            <v>16.372653935794702</v>
          </cell>
          <cell r="S13">
            <v>1.8165771771769958</v>
          </cell>
          <cell r="T13">
            <v>0.2110486242208556</v>
          </cell>
          <cell r="U13">
            <v>3.4194407243989366E-2</v>
          </cell>
          <cell r="V13">
            <v>0.29486276909909559</v>
          </cell>
          <cell r="W13">
            <v>7.0209138999323156E-2</v>
          </cell>
          <cell r="X13">
            <v>1.5136605586763723</v>
          </cell>
          <cell r="Y13">
            <v>5.6085836703237808E-2</v>
          </cell>
          <cell r="Z13">
            <v>72052.353271212793</v>
          </cell>
          <cell r="AA13">
            <v>117026.19825747277</v>
          </cell>
          <cell r="AB13">
            <v>0</v>
          </cell>
          <cell r="AC13">
            <v>67914.273684454718</v>
          </cell>
          <cell r="AD13">
            <v>0</v>
          </cell>
          <cell r="AE13">
            <v>0</v>
          </cell>
          <cell r="AF13">
            <v>53455.555555555555</v>
          </cell>
          <cell r="AG13">
            <v>131907.42417671951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33021.102040816324</v>
          </cell>
          <cell r="AO13">
            <v>40539.29362929229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41423.482202344065</v>
          </cell>
          <cell r="AX13">
            <v>45416.588620337287</v>
          </cell>
          <cell r="AY13">
            <v>0</v>
          </cell>
          <cell r="AZ13">
            <v>0</v>
          </cell>
          <cell r="BA13">
            <v>46311.377761028903</v>
          </cell>
          <cell r="BB13">
            <v>0</v>
          </cell>
          <cell r="BC13">
            <v>49620.594785383997</v>
          </cell>
          <cell r="BD13">
            <v>38093.165287536744</v>
          </cell>
          <cell r="BE13">
            <v>40410.526315789473</v>
          </cell>
          <cell r="BF13">
            <v>37251.243231968059</v>
          </cell>
          <cell r="BG13">
            <v>22717.334880124985</v>
          </cell>
          <cell r="BH13">
            <v>43556.327965630728</v>
          </cell>
          <cell r="BI13">
            <v>25381.428571428572</v>
          </cell>
          <cell r="BJ13">
            <v>23444.833333333336</v>
          </cell>
          <cell r="BK13">
            <v>0</v>
          </cell>
          <cell r="BL13">
            <v>37511.068903385298</v>
          </cell>
          <cell r="BM13">
            <v>93123.892778139023</v>
          </cell>
          <cell r="BN13">
            <v>75161.12445450385</v>
          </cell>
          <cell r="BO13">
            <v>120235.51265104848</v>
          </cell>
          <cell r="BP13">
            <v>39356.546406253517</v>
          </cell>
          <cell r="BQ13">
            <v>41923.151828633563</v>
          </cell>
          <cell r="BR13">
            <v>34860.115494120335</v>
          </cell>
          <cell r="BS13">
            <v>39268.080811067135</v>
          </cell>
          <cell r="BT13">
            <v>163298.52298238172</v>
          </cell>
          <cell r="BU13">
            <v>0.30951402011544682</v>
          </cell>
          <cell r="BV13">
            <v>1049.4056009049723</v>
          </cell>
          <cell r="BW13">
            <v>163902.66960738285</v>
          </cell>
          <cell r="BX13">
            <v>33115.928829909841</v>
          </cell>
          <cell r="BY13">
            <v>128723.77509576856</v>
          </cell>
          <cell r="BZ13">
            <v>235075.35593657917</v>
          </cell>
          <cell r="CA13">
            <v>1129686.2829272412</v>
          </cell>
          <cell r="CB13">
            <v>0.26182901402968572</v>
          </cell>
          <cell r="CC13">
            <v>147377.24535193585</v>
          </cell>
          <cell r="CD13">
            <v>16435.075736089784</v>
          </cell>
          <cell r="CE13">
            <v>121361.9336843073</v>
          </cell>
          <cell r="CF13">
            <v>62410.420557716723</v>
          </cell>
          <cell r="CG13">
            <v>413661.7199804791</v>
          </cell>
          <cell r="CH13">
            <v>40855.207594883439</v>
          </cell>
          <cell r="CI13">
            <v>653868.68941315776</v>
          </cell>
          <cell r="CJ13">
            <v>163902.66960738285</v>
          </cell>
          <cell r="CK13">
            <v>142570.37624099589</v>
          </cell>
          <cell r="CL13">
            <v>128723.77509576856</v>
          </cell>
          <cell r="CM13">
            <v>42639.914939352835</v>
          </cell>
          <cell r="CN13">
            <v>235075.35593657917</v>
          </cell>
          <cell r="CO13">
            <v>1317205.4996263271</v>
          </cell>
          <cell r="CP13">
            <v>0.63910146780055677</v>
          </cell>
          <cell r="CQ13">
            <v>0.15684808047742871</v>
          </cell>
          <cell r="CR13">
            <v>0.13469498808628508</v>
          </cell>
          <cell r="CS13">
            <v>0.11500826593670618</v>
          </cell>
          <cell r="CT13">
            <v>4.1578822468167242E-2</v>
          </cell>
          <cell r="CU13">
            <v>0.2119868675623521</v>
          </cell>
          <cell r="CV13">
            <v>143.50182671064113</v>
          </cell>
          <cell r="CW13">
            <v>32.845811714322963</v>
          </cell>
          <cell r="CX13">
            <v>28.993534782884005</v>
          </cell>
          <cell r="CY13">
            <v>22.748648622541225</v>
          </cell>
          <cell r="CZ13">
            <v>4.0384890780000875</v>
          </cell>
          <cell r="DA13">
            <v>37.670291443995474</v>
          </cell>
          <cell r="DB13">
            <v>259.3154627933456</v>
          </cell>
        </row>
      </sheetData>
      <sheetData sheetId="8">
        <row r="4">
          <cell r="BO4">
            <v>1</v>
          </cell>
        </row>
      </sheetData>
      <sheetData sheetId="9">
        <row r="3">
          <cell r="A3" t="str">
            <v>Community Healthlink, Inc.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new CAF"/>
      <sheetName val="for pres"/>
      <sheetName val="Source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46"/>
  <sheetViews>
    <sheetView topLeftCell="C21" workbookViewId="0">
      <selection activeCell="G30" sqref="G30"/>
    </sheetView>
  </sheetViews>
  <sheetFormatPr defaultRowHeight="22.2" customHeight="1" x14ac:dyDescent="0.3"/>
  <cols>
    <col min="1" max="2" width="0" hidden="1" customWidth="1"/>
    <col min="3" max="3" width="68.33203125" customWidth="1"/>
    <col min="4" max="4" width="11.33203125" hidden="1" customWidth="1"/>
    <col min="5" max="5" width="22" customWidth="1"/>
    <col min="7" max="7" width="11.33203125" customWidth="1"/>
    <col min="8" max="8" width="10.6640625" style="349" customWidth="1"/>
  </cols>
  <sheetData>
    <row r="2" spans="1:8" ht="30.6" customHeight="1" x14ac:dyDescent="0.35">
      <c r="C2" s="515" t="s">
        <v>381</v>
      </c>
      <c r="D2" s="513" t="s">
        <v>357</v>
      </c>
      <c r="E2" s="513" t="s">
        <v>356</v>
      </c>
      <c r="F2" s="513" t="s">
        <v>355</v>
      </c>
      <c r="G2" s="513" t="s">
        <v>380</v>
      </c>
      <c r="H2" s="514" t="s">
        <v>379</v>
      </c>
    </row>
    <row r="3" spans="1:8" ht="22.2" hidden="1" customHeight="1" x14ac:dyDescent="0.35">
      <c r="A3" t="s">
        <v>354</v>
      </c>
      <c r="C3" s="510" t="s">
        <v>353</v>
      </c>
      <c r="D3" s="695">
        <v>3386</v>
      </c>
      <c r="E3" s="499" t="s">
        <v>326</v>
      </c>
      <c r="F3" s="512">
        <v>100.08</v>
      </c>
      <c r="G3" s="491"/>
      <c r="H3" s="490"/>
    </row>
    <row r="4" spans="1:8" ht="22.2" hidden="1" customHeight="1" x14ac:dyDescent="0.35">
      <c r="C4" s="511" t="s">
        <v>352</v>
      </c>
      <c r="D4" s="695"/>
      <c r="E4" s="499" t="s">
        <v>351</v>
      </c>
      <c r="F4" s="512">
        <v>25.57</v>
      </c>
      <c r="G4" s="491"/>
      <c r="H4" s="490"/>
    </row>
    <row r="5" spans="1:8" ht="22.2" hidden="1" customHeight="1" x14ac:dyDescent="0.35">
      <c r="C5" s="511" t="s">
        <v>350</v>
      </c>
      <c r="D5" s="695"/>
      <c r="E5" s="499" t="s">
        <v>349</v>
      </c>
      <c r="F5" s="512">
        <v>81.7</v>
      </c>
      <c r="G5" s="491"/>
      <c r="H5" s="490"/>
    </row>
    <row r="6" spans="1:8" ht="22.2" hidden="1" customHeight="1" x14ac:dyDescent="0.35">
      <c r="C6" s="510" t="s">
        <v>348</v>
      </c>
      <c r="D6" s="695">
        <v>3380</v>
      </c>
      <c r="E6" s="499" t="s">
        <v>340</v>
      </c>
      <c r="F6" s="509">
        <v>254.87</v>
      </c>
      <c r="G6" s="491"/>
      <c r="H6" s="490"/>
    </row>
    <row r="7" spans="1:8" ht="22.2" hidden="1" customHeight="1" x14ac:dyDescent="0.35">
      <c r="C7" s="511" t="s">
        <v>347</v>
      </c>
      <c r="D7" s="695"/>
      <c r="E7" s="499" t="s">
        <v>346</v>
      </c>
      <c r="F7" s="509">
        <v>49.2</v>
      </c>
      <c r="G7" s="491"/>
      <c r="H7" s="490"/>
    </row>
    <row r="8" spans="1:8" ht="22.2" hidden="1" customHeight="1" x14ac:dyDescent="0.35">
      <c r="C8" s="510" t="s">
        <v>345</v>
      </c>
      <c r="D8" s="695"/>
      <c r="E8" s="499" t="s">
        <v>340</v>
      </c>
      <c r="F8" s="509">
        <v>238.73</v>
      </c>
      <c r="G8" s="491"/>
      <c r="H8" s="490"/>
    </row>
    <row r="9" spans="1:8" ht="22.2" hidden="1" customHeight="1" x14ac:dyDescent="0.35">
      <c r="C9" s="510" t="s">
        <v>344</v>
      </c>
      <c r="D9" s="695"/>
      <c r="E9" s="499" t="s">
        <v>340</v>
      </c>
      <c r="F9" s="509">
        <v>225.08</v>
      </c>
      <c r="G9" s="491"/>
      <c r="H9" s="490"/>
    </row>
    <row r="10" spans="1:8" ht="22.2" hidden="1" customHeight="1" x14ac:dyDescent="0.35">
      <c r="C10" s="510" t="s">
        <v>343</v>
      </c>
      <c r="D10" s="695"/>
      <c r="E10" s="499" t="s">
        <v>340</v>
      </c>
      <c r="F10" s="509">
        <v>213.37</v>
      </c>
      <c r="G10" s="491"/>
      <c r="H10" s="490"/>
    </row>
    <row r="11" spans="1:8" ht="22.2" hidden="1" customHeight="1" x14ac:dyDescent="0.35">
      <c r="C11" s="510" t="s">
        <v>342</v>
      </c>
      <c r="D11" s="695"/>
      <c r="E11" s="499" t="s">
        <v>340</v>
      </c>
      <c r="F11" s="509">
        <v>203.23</v>
      </c>
      <c r="G11" s="491"/>
      <c r="H11" s="490"/>
    </row>
    <row r="12" spans="1:8" ht="22.2" hidden="1" customHeight="1" x14ac:dyDescent="0.35">
      <c r="C12" s="510" t="s">
        <v>341</v>
      </c>
      <c r="D12" s="695"/>
      <c r="E12" s="499" t="s">
        <v>340</v>
      </c>
      <c r="F12" s="509">
        <v>194.35</v>
      </c>
      <c r="G12" s="491"/>
      <c r="H12" s="490"/>
    </row>
    <row r="13" spans="1:8" ht="22.2" hidden="1" customHeight="1" x14ac:dyDescent="0.35">
      <c r="C13" s="506" t="s">
        <v>339</v>
      </c>
      <c r="D13" s="508" t="s">
        <v>338</v>
      </c>
      <c r="E13" s="508" t="s">
        <v>337</v>
      </c>
      <c r="F13" s="498">
        <v>168.23</v>
      </c>
      <c r="G13" s="491"/>
      <c r="H13" s="490"/>
    </row>
    <row r="14" spans="1:8" ht="22.2" hidden="1" customHeight="1" x14ac:dyDescent="0.35">
      <c r="C14" s="506" t="s">
        <v>336</v>
      </c>
      <c r="D14" s="697" t="s">
        <v>335</v>
      </c>
      <c r="E14" s="505" t="s">
        <v>334</v>
      </c>
      <c r="F14" s="507">
        <v>155.72</v>
      </c>
      <c r="G14" s="491"/>
      <c r="H14" s="490"/>
    </row>
    <row r="15" spans="1:8" ht="22.2" hidden="1" customHeight="1" x14ac:dyDescent="0.35">
      <c r="C15" s="506" t="s">
        <v>333</v>
      </c>
      <c r="D15" s="697"/>
      <c r="E15" s="505" t="s">
        <v>332</v>
      </c>
      <c r="F15" s="504">
        <v>52.6</v>
      </c>
      <c r="G15" s="491"/>
      <c r="H15" s="490"/>
    </row>
    <row r="16" spans="1:8" ht="22.2" hidden="1" customHeight="1" x14ac:dyDescent="0.35">
      <c r="C16" s="500" t="s">
        <v>331</v>
      </c>
      <c r="D16" s="503" t="s">
        <v>330</v>
      </c>
      <c r="E16" s="499" t="s">
        <v>329</v>
      </c>
      <c r="F16" s="502">
        <v>92.33</v>
      </c>
      <c r="G16" s="491"/>
      <c r="H16" s="490"/>
    </row>
    <row r="17" spans="3:8" ht="22.2" hidden="1" customHeight="1" x14ac:dyDescent="0.35">
      <c r="C17" s="500" t="s">
        <v>328</v>
      </c>
      <c r="D17" s="696" t="s">
        <v>327</v>
      </c>
      <c r="E17" s="501" t="s">
        <v>326</v>
      </c>
      <c r="F17" s="502">
        <v>100.08</v>
      </c>
      <c r="G17" s="491"/>
      <c r="H17" s="490"/>
    </row>
    <row r="18" spans="3:8" ht="22.2" hidden="1" customHeight="1" x14ac:dyDescent="0.35">
      <c r="C18" s="500" t="s">
        <v>325</v>
      </c>
      <c r="D18" s="696"/>
      <c r="E18" s="501" t="s">
        <v>324</v>
      </c>
      <c r="F18" s="498">
        <v>125.65</v>
      </c>
      <c r="G18" s="491"/>
      <c r="H18" s="490"/>
    </row>
    <row r="19" spans="3:8" ht="22.2" hidden="1" customHeight="1" x14ac:dyDescent="0.35">
      <c r="C19" s="500" t="s">
        <v>323</v>
      </c>
      <c r="D19" s="696"/>
      <c r="E19" s="501" t="s">
        <v>322</v>
      </c>
      <c r="F19" s="498">
        <v>181.78</v>
      </c>
      <c r="G19" s="491"/>
      <c r="H19" s="490"/>
    </row>
    <row r="20" spans="3:8" ht="22.2" hidden="1" customHeight="1" x14ac:dyDescent="0.35">
      <c r="C20" s="500" t="s">
        <v>321</v>
      </c>
      <c r="D20" s="696"/>
      <c r="E20" s="499" t="s">
        <v>320</v>
      </c>
      <c r="F20" s="498">
        <v>40.85</v>
      </c>
      <c r="G20" s="491"/>
      <c r="H20" s="490"/>
    </row>
    <row r="21" spans="3:8" ht="22.2" customHeight="1" x14ac:dyDescent="0.35">
      <c r="C21" s="518" t="s">
        <v>29</v>
      </c>
      <c r="D21" s="501"/>
      <c r="E21" s="499" t="str">
        <f>'Methadone Dosing'!B3</f>
        <v>H0020</v>
      </c>
      <c r="F21" s="498">
        <v>10.77</v>
      </c>
      <c r="G21" s="517">
        <f>'Methadone Dosing'!F24</f>
        <v>11.256516649303348</v>
      </c>
      <c r="H21" s="524">
        <f t="shared" ref="H21:H32" si="0">(G21-F21)/F21</f>
        <v>4.5173319341072313E-2</v>
      </c>
    </row>
    <row r="22" spans="3:8" ht="22.2" customHeight="1" x14ac:dyDescent="0.35">
      <c r="C22" s="500" t="s">
        <v>363</v>
      </c>
      <c r="D22" s="501"/>
      <c r="E22" s="499" t="str">
        <f>'Methadone Counseling'!B3</f>
        <v>H0004 - TF</v>
      </c>
      <c r="F22" s="498">
        <v>19.39</v>
      </c>
      <c r="G22" s="517">
        <f>'Methadone Counseling'!F25</f>
        <v>20.112704069856566</v>
      </c>
      <c r="H22" s="524">
        <f t="shared" si="0"/>
        <v>3.7271999476872882E-2</v>
      </c>
    </row>
    <row r="23" spans="3:8" ht="31.5" customHeight="1" x14ac:dyDescent="0.35">
      <c r="C23" s="500" t="s">
        <v>362</v>
      </c>
      <c r="D23" s="501" t="s">
        <v>358</v>
      </c>
      <c r="E23" s="516" t="str">
        <f>'Methadone Counseling'!B3</f>
        <v>H0004 - TF</v>
      </c>
      <c r="F23" s="498">
        <v>18.71</v>
      </c>
      <c r="G23" s="682">
        <f>'Methadone Counseling'!F26</f>
        <v>0</v>
      </c>
      <c r="H23" s="524">
        <f t="shared" si="0"/>
        <v>-1</v>
      </c>
    </row>
    <row r="24" spans="3:8" ht="31.5" customHeight="1" x14ac:dyDescent="0.35">
      <c r="C24" s="519" t="s">
        <v>360</v>
      </c>
      <c r="D24" s="501"/>
      <c r="E24" s="516" t="str">
        <f>Family.Couple!B3</f>
        <v>T1006-HR, T1006, T1006-HD</v>
      </c>
      <c r="F24" s="498">
        <v>38.520000000000003</v>
      </c>
      <c r="G24" s="517">
        <f>Family.Couple!F24</f>
        <v>40.51965945510041</v>
      </c>
      <c r="H24" s="524">
        <f t="shared" si="0"/>
        <v>5.1912239228982512E-2</v>
      </c>
    </row>
    <row r="25" spans="3:8" ht="31.5" customHeight="1" x14ac:dyDescent="0.35">
      <c r="C25" s="518" t="s">
        <v>361</v>
      </c>
      <c r="D25" s="501" t="s">
        <v>359</v>
      </c>
      <c r="E25" s="516" t="str">
        <f>Psycho.Ed!B3</f>
        <v>H2027</v>
      </c>
      <c r="F25" s="498">
        <v>3.89</v>
      </c>
      <c r="G25" s="517">
        <f>Psycho.Ed!F25</f>
        <v>4.2564858895456172</v>
      </c>
      <c r="H25" s="524">
        <f t="shared" si="0"/>
        <v>9.4212310937176635E-2</v>
      </c>
    </row>
    <row r="26" spans="3:8" ht="31.5" customHeight="1" x14ac:dyDescent="0.35">
      <c r="C26" s="495" t="s">
        <v>364</v>
      </c>
      <c r="D26" s="501"/>
      <c r="E26" s="516" t="str">
        <f>'Day Treatments'!B3</f>
        <v>H1005-HQ, H2012-HF</v>
      </c>
      <c r="F26" s="498">
        <v>84.11</v>
      </c>
      <c r="G26" s="517">
        <f>'Day Treatments'!F24</f>
        <v>89.463896536039968</v>
      </c>
      <c r="H26" s="524">
        <f t="shared" si="0"/>
        <v>6.3653507740339663E-2</v>
      </c>
    </row>
    <row r="27" spans="3:8" ht="31.5" customHeight="1" x14ac:dyDescent="0.35">
      <c r="C27" s="495" t="s">
        <v>365</v>
      </c>
      <c r="D27" s="501"/>
      <c r="E27" s="516" t="str">
        <f>'Day Treatments'!J3</f>
        <v>H1005</v>
      </c>
      <c r="F27" s="498">
        <v>84.11</v>
      </c>
      <c r="G27" s="517">
        <f>'Day Treatments'!N24</f>
        <v>89.463896536039968</v>
      </c>
      <c r="H27" s="524">
        <f t="shared" si="0"/>
        <v>6.3653507740339663E-2</v>
      </c>
    </row>
    <row r="28" spans="3:8" ht="31.5" customHeight="1" x14ac:dyDescent="0.35">
      <c r="C28" s="520" t="s">
        <v>102</v>
      </c>
      <c r="D28" s="501" t="s">
        <v>358</v>
      </c>
      <c r="E28" s="516" t="str">
        <f>'Telephone Rec'!B3</f>
        <v>H2015-HF</v>
      </c>
      <c r="F28" s="498">
        <v>11.84</v>
      </c>
      <c r="G28" s="517">
        <f>'Telephone Rec'!F23</f>
        <v>13.242878557698054</v>
      </c>
      <c r="H28" s="524">
        <f t="shared" si="0"/>
        <v>0.11848636467044377</v>
      </c>
    </row>
    <row r="29" spans="3:8" ht="31.5" customHeight="1" x14ac:dyDescent="0.35">
      <c r="C29" s="520" t="s">
        <v>318</v>
      </c>
      <c r="D29" s="501" t="s">
        <v>358</v>
      </c>
      <c r="E29" s="516" t="str">
        <f>'Recovery Coaching'!$B$3</f>
        <v>H0038-HF</v>
      </c>
      <c r="F29" s="498">
        <v>14.57</v>
      </c>
      <c r="G29" s="517">
        <f>'Recovery Coach (new)'!F22</f>
        <v>16.961591219120464</v>
      </c>
      <c r="H29" s="524">
        <f t="shared" si="0"/>
        <v>0.16414490179275662</v>
      </c>
    </row>
    <row r="30" spans="3:8" ht="31.5" customHeight="1" x14ac:dyDescent="0.35">
      <c r="C30" s="520" t="s">
        <v>317</v>
      </c>
      <c r="D30" s="501" t="s">
        <v>358</v>
      </c>
      <c r="E30" s="516" t="str">
        <f>'InHome Therapy'!$B$3</f>
        <v>H2019-HF</v>
      </c>
      <c r="F30" s="498">
        <v>21</v>
      </c>
      <c r="G30" s="517">
        <f>'InHome Therapy'!$F$24</f>
        <v>22.091138531272939</v>
      </c>
      <c r="H30" s="524">
        <f t="shared" si="0"/>
        <v>5.195897767966378E-2</v>
      </c>
    </row>
    <row r="31" spans="3:8" ht="31.5" customHeight="1" x14ac:dyDescent="0.35">
      <c r="C31" s="495" t="s">
        <v>366</v>
      </c>
      <c r="D31" s="501"/>
      <c r="E31" s="516" t="str">
        <f>'Case Management'!$B$3</f>
        <v>H0006-HO</v>
      </c>
      <c r="F31" s="498">
        <v>20.93</v>
      </c>
      <c r="G31" s="522">
        <f>'Outpatient Counseling '!R8</f>
        <v>19.599435564957187</v>
      </c>
      <c r="H31" s="524">
        <f t="shared" si="0"/>
        <v>-6.3572118253359441E-2</v>
      </c>
    </row>
    <row r="32" spans="3:8" ht="31.5" customHeight="1" x14ac:dyDescent="0.3">
      <c r="C32" s="495" t="s">
        <v>367</v>
      </c>
      <c r="D32" s="501"/>
      <c r="E32" s="516" t="str">
        <f>'Case Management'!$H$3</f>
        <v>H0006-HN, H0006-HD</v>
      </c>
      <c r="F32" s="498">
        <v>14.7</v>
      </c>
      <c r="G32" s="517">
        <f>'Case Management'!$L$24</f>
        <v>16.220952789599341</v>
      </c>
      <c r="H32" s="524">
        <f t="shared" si="0"/>
        <v>0.10346617616322053</v>
      </c>
    </row>
    <row r="33" spans="1:8" ht="31.5" customHeight="1" x14ac:dyDescent="0.3">
      <c r="C33" s="521" t="s">
        <v>66</v>
      </c>
      <c r="D33" s="501" t="s">
        <v>358</v>
      </c>
      <c r="E33" s="516" t="str">
        <f>'Outpatient Counseling '!$H$3</f>
        <v>H0005-H9, H0005, H0005-HQ, H0005-HD, 90882-HF</v>
      </c>
      <c r="F33" s="498">
        <v>74.86</v>
      </c>
      <c r="G33" s="517">
        <f>'Outpatient Counseling '!$L$23</f>
        <v>78.397742259828746</v>
      </c>
      <c r="H33" s="524">
        <f>(G33-F33)/F33</f>
        <v>4.7258111940004628E-2</v>
      </c>
    </row>
    <row r="34" spans="1:8" ht="31.5" customHeight="1" x14ac:dyDescent="0.3">
      <c r="C34" s="493" t="s">
        <v>368</v>
      </c>
      <c r="D34" s="501"/>
      <c r="E34" s="516" t="str">
        <f>'Outpatient Counseling '!P6</f>
        <v>90882-HF</v>
      </c>
      <c r="F34" s="498">
        <v>37.43</v>
      </c>
      <c r="G34" s="517">
        <v>39.404989081676732</v>
      </c>
      <c r="H34" s="524">
        <f t="shared" ref="H34:H44" si="1">(G34-F34)/F34</f>
        <v>5.2764869935258668E-2</v>
      </c>
    </row>
    <row r="35" spans="1:8" ht="31.5" customHeight="1" x14ac:dyDescent="0.3">
      <c r="C35" s="492" t="s">
        <v>369</v>
      </c>
      <c r="D35" s="501"/>
      <c r="E35" s="516" t="str">
        <f>'Outpatient Counseling '!P7</f>
        <v>H0001</v>
      </c>
      <c r="F35" s="498">
        <v>18.71</v>
      </c>
      <c r="G35" s="517">
        <v>19.702494540838366</v>
      </c>
      <c r="H35" s="524">
        <f t="shared" si="1"/>
        <v>5.3046207420543286E-2</v>
      </c>
    </row>
    <row r="36" spans="1:8" ht="31.5" customHeight="1" x14ac:dyDescent="0.3">
      <c r="C36" s="492" t="s">
        <v>370</v>
      </c>
      <c r="D36" s="501"/>
      <c r="E36" s="516" t="str">
        <f>'Outpatient Counseling '!P8</f>
        <v>H0004</v>
      </c>
      <c r="F36" s="498">
        <v>18.71</v>
      </c>
      <c r="G36" s="517">
        <v>19.702494540838366</v>
      </c>
      <c r="H36" s="524">
        <f t="shared" si="1"/>
        <v>5.3046207420543286E-2</v>
      </c>
    </row>
    <row r="37" spans="1:8" ht="22.2" customHeight="1" x14ac:dyDescent="0.3">
      <c r="A37" t="s">
        <v>319</v>
      </c>
      <c r="C37" s="492" t="s">
        <v>371</v>
      </c>
      <c r="D37" s="501">
        <v>2324</v>
      </c>
      <c r="E37" s="497" t="str">
        <f>'Outpatient Counseling '!P10</f>
        <v>H0001-H9</v>
      </c>
      <c r="F37" s="496">
        <v>18.71</v>
      </c>
      <c r="G37" s="522">
        <f>'Outpatient Counseling '!R10</f>
        <v>19.599435564957187</v>
      </c>
      <c r="H37" s="524">
        <f t="shared" si="1"/>
        <v>4.753797781705963E-2</v>
      </c>
    </row>
    <row r="38" spans="1:8" ht="22.2" customHeight="1" x14ac:dyDescent="0.3">
      <c r="C38" s="492" t="s">
        <v>372</v>
      </c>
      <c r="D38" s="501">
        <v>2324</v>
      </c>
      <c r="E38" s="494" t="str">
        <f>'Outpatient Counseling '!P11</f>
        <v>H0004-H9</v>
      </c>
      <c r="F38" s="492">
        <v>18.71</v>
      </c>
      <c r="G38" s="522">
        <f>'Outpatient Counseling '!R11</f>
        <v>19.599435564957187</v>
      </c>
      <c r="H38" s="524">
        <f t="shared" si="1"/>
        <v>4.753797781705963E-2</v>
      </c>
    </row>
    <row r="39" spans="1:8" ht="22.2" customHeight="1" x14ac:dyDescent="0.3">
      <c r="C39" s="492" t="s">
        <v>373</v>
      </c>
      <c r="D39" s="501">
        <v>2324</v>
      </c>
      <c r="E39" s="494" t="str">
        <f>'Outpatient Counseling '!P12</f>
        <v>H0005-H9</v>
      </c>
      <c r="F39" s="492">
        <v>5.61</v>
      </c>
      <c r="G39" s="522">
        <f>'Outpatient Counseling '!R12</f>
        <v>5.8798306694871556</v>
      </c>
      <c r="H39" s="524">
        <f t="shared" si="1"/>
        <v>4.8098158553860119E-2</v>
      </c>
    </row>
    <row r="40" spans="1:8" ht="22.2" customHeight="1" x14ac:dyDescent="0.3">
      <c r="C40" s="492" t="s">
        <v>374</v>
      </c>
      <c r="D40" s="501" t="s">
        <v>359</v>
      </c>
      <c r="E40" s="494" t="str">
        <f>'Outpatient Counseling '!P13</f>
        <v>H0004-HD</v>
      </c>
      <c r="F40" s="492">
        <v>18.71</v>
      </c>
      <c r="G40" s="522">
        <f>'Outpatient Counseling '!R13</f>
        <v>19.599435564957187</v>
      </c>
      <c r="H40" s="524">
        <f t="shared" si="1"/>
        <v>4.753797781705963E-2</v>
      </c>
    </row>
    <row r="41" spans="1:8" ht="22.2" customHeight="1" x14ac:dyDescent="0.3">
      <c r="C41" s="492" t="s">
        <v>375</v>
      </c>
      <c r="D41" s="501" t="s">
        <v>359</v>
      </c>
      <c r="E41" s="494" t="str">
        <f>'Outpatient Counseling '!P14</f>
        <v>H1005</v>
      </c>
      <c r="F41" s="492">
        <v>74.86</v>
      </c>
      <c r="G41" s="517">
        <f>'Outpatient Counseling '!R14</f>
        <v>78.397742259828746</v>
      </c>
      <c r="H41" s="524">
        <f t="shared" si="1"/>
        <v>4.7258111940004628E-2</v>
      </c>
    </row>
    <row r="42" spans="1:8" ht="22.2" customHeight="1" x14ac:dyDescent="0.3">
      <c r="C42" s="492" t="s">
        <v>376</v>
      </c>
      <c r="D42" s="501" t="s">
        <v>359</v>
      </c>
      <c r="E42" s="494" t="str">
        <f>'Outpatient Counseling '!P15</f>
        <v>H0005-HD</v>
      </c>
      <c r="F42" s="492">
        <v>16.84</v>
      </c>
      <c r="G42" s="522">
        <f>'Outpatient Counseling '!R15</f>
        <v>17.639492008461467</v>
      </c>
      <c r="H42" s="524">
        <f t="shared" si="1"/>
        <v>4.7475772473958844E-2</v>
      </c>
    </row>
    <row r="43" spans="1:8" ht="22.2" customHeight="1" x14ac:dyDescent="0.3">
      <c r="C43" s="523" t="s">
        <v>377</v>
      </c>
      <c r="D43" s="501"/>
      <c r="E43" s="494" t="str">
        <f>'Outpatient Counseling '!H30</f>
        <v>H0005, H0005-H9</v>
      </c>
      <c r="F43" s="492">
        <v>5.61</v>
      </c>
      <c r="G43" s="522">
        <f>'Outpatient Counseling '!K34</f>
        <v>5.8798306694871556</v>
      </c>
      <c r="H43" s="524">
        <f t="shared" si="1"/>
        <v>4.8098158553860119E-2</v>
      </c>
    </row>
    <row r="44" spans="1:8" ht="22.2" customHeight="1" x14ac:dyDescent="0.3">
      <c r="C44" s="523" t="s">
        <v>378</v>
      </c>
      <c r="D44" s="501"/>
      <c r="E44" s="494" t="str">
        <f>'Outpatient Counseling '!H30</f>
        <v>H0005, H0005-H9</v>
      </c>
      <c r="F44" s="492">
        <v>16.84</v>
      </c>
      <c r="G44" s="522">
        <f>'Outpatient Counseling '!K35</f>
        <v>17.639492008461467</v>
      </c>
      <c r="H44" s="524">
        <f t="shared" si="1"/>
        <v>4.7475772473958844E-2</v>
      </c>
    </row>
    <row r="45" spans="1:8" ht="22.2" customHeight="1" x14ac:dyDescent="0.3">
      <c r="C45" s="525"/>
      <c r="D45" s="526"/>
      <c r="E45" s="527"/>
      <c r="F45" s="525"/>
      <c r="G45" s="528"/>
      <c r="H45" s="529"/>
    </row>
    <row r="46" spans="1:8" ht="22.2" customHeight="1" x14ac:dyDescent="0.3">
      <c r="C46" s="525"/>
      <c r="D46" s="526"/>
      <c r="E46" s="527"/>
      <c r="F46" s="525"/>
      <c r="G46" s="528"/>
      <c r="H46" s="529"/>
    </row>
  </sheetData>
  <mergeCells count="4">
    <mergeCell ref="D3:D5"/>
    <mergeCell ref="D17:D20"/>
    <mergeCell ref="D14:D15"/>
    <mergeCell ref="D6:D12"/>
  </mergeCells>
  <phoneticPr fontId="90" type="noConversion"/>
  <pageMargins left="0.7" right="0.7" top="0.75" bottom="0.75" header="0.3" footer="0.3"/>
  <pageSetup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topLeftCell="H10" zoomScale="80" zoomScaleNormal="80" workbookViewId="0">
      <selection activeCell="O20" sqref="O20"/>
    </sheetView>
  </sheetViews>
  <sheetFormatPr defaultColWidth="9.109375" defaultRowHeight="13.2" x14ac:dyDescent="0.25"/>
  <cols>
    <col min="1" max="1" width="9.109375" style="60"/>
    <col min="2" max="2" width="38.33203125" style="60" hidden="1" customWidth="1"/>
    <col min="3" max="5" width="0" style="60" hidden="1" customWidth="1"/>
    <col min="6" max="6" width="15.33203125" style="60" hidden="1" customWidth="1"/>
    <col min="7" max="7" width="0" style="60" hidden="1" customWidth="1"/>
    <col min="8" max="8" width="34.88671875" style="60" customWidth="1"/>
    <col min="9" max="9" width="7.6640625" style="60" bestFit="1" customWidth="1"/>
    <col min="10" max="10" width="12.33203125" style="60" customWidth="1"/>
    <col min="11" max="11" width="9" style="60" bestFit="1" customWidth="1"/>
    <col min="12" max="12" width="18.33203125" style="60" customWidth="1"/>
    <col min="13" max="13" width="12.33203125" style="60" bestFit="1" customWidth="1"/>
    <col min="14" max="14" width="9.6640625" style="60" bestFit="1" customWidth="1"/>
    <col min="15" max="15" width="24.33203125" style="60" customWidth="1"/>
    <col min="16" max="16" width="15.6640625" style="60" customWidth="1"/>
    <col min="17" max="17" width="37.33203125" style="60" bestFit="1" customWidth="1"/>
    <col min="18" max="18" width="8.5546875" style="60" bestFit="1" customWidth="1"/>
    <col min="19" max="16384" width="9.109375" style="60"/>
  </cols>
  <sheetData>
    <row r="1" spans="2:19" ht="13.05" thickBot="1" x14ac:dyDescent="0.3"/>
    <row r="2" spans="2:19" ht="14.55" thickBot="1" x14ac:dyDescent="0.35">
      <c r="H2" s="735" t="s">
        <v>87</v>
      </c>
      <c r="I2" s="736"/>
      <c r="J2" s="736"/>
      <c r="K2" s="736"/>
      <c r="L2" s="737"/>
    </row>
    <row r="3" spans="2:19" ht="14.55" thickBot="1" x14ac:dyDescent="0.35">
      <c r="B3" s="725" t="s">
        <v>53</v>
      </c>
      <c r="C3" s="726"/>
      <c r="D3" s="726"/>
      <c r="E3" s="726"/>
      <c r="F3" s="727"/>
      <c r="G3" s="79"/>
      <c r="H3" s="403" t="s">
        <v>124</v>
      </c>
      <c r="I3" s="404"/>
      <c r="J3" s="405"/>
      <c r="K3" s="406"/>
      <c r="L3" s="407"/>
      <c r="M3" s="79"/>
      <c r="N3" s="79"/>
    </row>
    <row r="4" spans="2:19" ht="14.55" thickBot="1" x14ac:dyDescent="0.35">
      <c r="B4" s="4" t="s">
        <v>54</v>
      </c>
      <c r="C4" s="80"/>
      <c r="D4" s="81" t="s">
        <v>48</v>
      </c>
      <c r="E4" s="77"/>
      <c r="F4" s="82">
        <v>1506</v>
      </c>
      <c r="G4" s="83"/>
      <c r="H4" s="408"/>
      <c r="I4" s="409"/>
      <c r="J4" s="410" t="s">
        <v>48</v>
      </c>
      <c r="K4" s="410"/>
      <c r="L4" s="411">
        <v>1506</v>
      </c>
      <c r="M4" s="172"/>
      <c r="N4" s="83"/>
    </row>
    <row r="5" spans="2:19" ht="13.8" x14ac:dyDescent="0.25">
      <c r="B5" s="84"/>
      <c r="C5" s="85"/>
      <c r="D5" s="86" t="s">
        <v>33</v>
      </c>
      <c r="E5" s="86" t="s">
        <v>34</v>
      </c>
      <c r="F5" s="87" t="s">
        <v>35</v>
      </c>
      <c r="G5" s="88"/>
      <c r="H5" s="412"/>
      <c r="I5" s="413"/>
      <c r="J5" s="414" t="s">
        <v>33</v>
      </c>
      <c r="K5" s="414" t="s">
        <v>34</v>
      </c>
      <c r="L5" s="415" t="s">
        <v>35</v>
      </c>
      <c r="M5" s="173"/>
      <c r="N5" s="88"/>
      <c r="O5" s="833" t="s">
        <v>61</v>
      </c>
      <c r="P5" s="833" t="s">
        <v>62</v>
      </c>
      <c r="Q5" s="833" t="s">
        <v>63</v>
      </c>
      <c r="R5" s="833" t="s">
        <v>64</v>
      </c>
    </row>
    <row r="6" spans="2:19" ht="16.5" customHeight="1" x14ac:dyDescent="0.25">
      <c r="B6" s="89" t="s">
        <v>8</v>
      </c>
      <c r="C6" s="90"/>
      <c r="D6" s="174">
        <v>68389.788812800005</v>
      </c>
      <c r="E6" s="91">
        <v>0.05</v>
      </c>
      <c r="F6" s="92">
        <v>3419.4894406400003</v>
      </c>
      <c r="G6" s="79"/>
      <c r="H6" s="416" t="str">
        <f>'Master Lookup'!B13</f>
        <v>Program Management</v>
      </c>
      <c r="I6" s="561"/>
      <c r="J6" s="562">
        <f>'Master Lookup'!C13</f>
        <v>66664</v>
      </c>
      <c r="K6" s="563">
        <v>0.1</v>
      </c>
      <c r="L6" s="564">
        <f>K6*J6</f>
        <v>6666.4000000000005</v>
      </c>
      <c r="M6" s="175"/>
      <c r="N6" s="79"/>
      <c r="O6" s="834" t="s">
        <v>66</v>
      </c>
      <c r="P6" s="835" t="s">
        <v>67</v>
      </c>
      <c r="Q6" s="836" t="s">
        <v>68</v>
      </c>
      <c r="R6" s="831">
        <f>K31*0.5</f>
        <v>39.198871129914373</v>
      </c>
    </row>
    <row r="7" spans="2:19" ht="16.5" customHeight="1" x14ac:dyDescent="0.25">
      <c r="B7" s="89" t="s">
        <v>49</v>
      </c>
      <c r="C7" s="90"/>
      <c r="D7" s="176">
        <v>54230.703181199999</v>
      </c>
      <c r="E7" s="94">
        <v>0.04</v>
      </c>
      <c r="F7" s="92">
        <v>2169.228127248</v>
      </c>
      <c r="G7" s="118"/>
      <c r="H7" s="559" t="str">
        <f>'Master Lookup'!B17</f>
        <v>Clinical  (LICSW)</v>
      </c>
      <c r="I7" s="565"/>
      <c r="J7" s="566">
        <f>'Master Lookup'!C17</f>
        <v>60923.199999999997</v>
      </c>
      <c r="K7" s="567">
        <v>0.1</v>
      </c>
      <c r="L7" s="564">
        <f>K7*J7</f>
        <v>6092.32</v>
      </c>
      <c r="M7" s="175"/>
      <c r="N7" s="118"/>
      <c r="O7" s="836"/>
      <c r="P7" s="835" t="s">
        <v>69</v>
      </c>
      <c r="Q7" s="836" t="s">
        <v>70</v>
      </c>
      <c r="R7" s="831">
        <f>K31*0.25</f>
        <v>19.599435564957187</v>
      </c>
    </row>
    <row r="8" spans="2:19" ht="16.5" customHeight="1" x14ac:dyDescent="0.25">
      <c r="B8" s="89" t="s">
        <v>50</v>
      </c>
      <c r="C8" s="90"/>
      <c r="D8" s="176">
        <v>52433.29</v>
      </c>
      <c r="E8" s="94">
        <v>1</v>
      </c>
      <c r="F8" s="92">
        <v>52433.29</v>
      </c>
      <c r="G8" s="118"/>
      <c r="H8" s="559" t="str">
        <f>'Master Lookup'!B18</f>
        <v>Clinician (MA Level)</v>
      </c>
      <c r="I8" s="565"/>
      <c r="J8" s="566">
        <f>'Master Lookup'!C18</f>
        <v>52665.599999999999</v>
      </c>
      <c r="K8" s="567">
        <v>1</v>
      </c>
      <c r="L8" s="564">
        <f>K8*J8</f>
        <v>52665.599999999999</v>
      </c>
      <c r="M8" s="175"/>
      <c r="N8" s="118"/>
      <c r="O8" s="836"/>
      <c r="P8" s="835" t="s">
        <v>72</v>
      </c>
      <c r="Q8" s="836" t="s">
        <v>73</v>
      </c>
      <c r="R8" s="831">
        <f>K31*0.25</f>
        <v>19.599435564957187</v>
      </c>
    </row>
    <row r="9" spans="2:19" ht="16.5" customHeight="1" x14ac:dyDescent="0.25">
      <c r="B9" s="95" t="s">
        <v>12</v>
      </c>
      <c r="C9" s="90"/>
      <c r="D9" s="176">
        <v>31079.308314600003</v>
      </c>
      <c r="E9" s="91">
        <v>0.3</v>
      </c>
      <c r="F9" s="92">
        <v>9323.7924943800008</v>
      </c>
      <c r="G9" s="118"/>
      <c r="H9" s="559" t="str">
        <f>'Master Lookup'!B22</f>
        <v>Support Staffing</v>
      </c>
      <c r="I9" s="565"/>
      <c r="J9" s="566">
        <f>'Master Lookup'!C22</f>
        <v>32198.400000000001</v>
      </c>
      <c r="K9" s="568">
        <v>0.3</v>
      </c>
      <c r="L9" s="564">
        <f>K9*J9</f>
        <v>9659.52</v>
      </c>
      <c r="M9" s="175"/>
      <c r="N9" s="118"/>
      <c r="O9" s="836"/>
      <c r="P9" s="835" t="s">
        <v>59</v>
      </c>
      <c r="Q9" s="836" t="s">
        <v>75</v>
      </c>
      <c r="R9" s="831">
        <f>K35</f>
        <v>17.639492008461467</v>
      </c>
      <c r="S9" s="832">
        <f>R9*2</f>
        <v>35.278984016922934</v>
      </c>
    </row>
    <row r="10" spans="2:19" ht="13.8" x14ac:dyDescent="0.25">
      <c r="B10" s="96" t="s">
        <v>36</v>
      </c>
      <c r="C10" s="97"/>
      <c r="D10" s="97"/>
      <c r="E10" s="98">
        <v>1.3900000000000001</v>
      </c>
      <c r="F10" s="99">
        <v>67345.800062267997</v>
      </c>
      <c r="G10" s="118"/>
      <c r="H10" s="569" t="s">
        <v>36</v>
      </c>
      <c r="I10" s="570"/>
      <c r="J10" s="570"/>
      <c r="K10" s="571">
        <f>SUM(K6:K9)</f>
        <v>1.5</v>
      </c>
      <c r="L10" s="572">
        <f>SUM(L6:L9)</f>
        <v>75083.839999999997</v>
      </c>
      <c r="M10" s="177"/>
      <c r="N10" s="118"/>
      <c r="O10" s="834" t="s">
        <v>77</v>
      </c>
      <c r="P10" s="835" t="s">
        <v>78</v>
      </c>
      <c r="Q10" s="836" t="s">
        <v>79</v>
      </c>
      <c r="R10" s="831">
        <f>R7</f>
        <v>19.599435564957187</v>
      </c>
    </row>
    <row r="11" spans="2:19" ht="13.8" x14ac:dyDescent="0.25">
      <c r="B11" s="100"/>
      <c r="C11" s="90"/>
      <c r="D11" s="90"/>
      <c r="E11" s="90"/>
      <c r="F11" s="101"/>
      <c r="G11" s="178"/>
      <c r="H11" s="573"/>
      <c r="I11" s="565"/>
      <c r="J11" s="565"/>
      <c r="K11" s="561"/>
      <c r="L11" s="574"/>
      <c r="M11" s="90"/>
      <c r="N11" s="178"/>
      <c r="O11" s="836"/>
      <c r="P11" s="835" t="s">
        <v>80</v>
      </c>
      <c r="Q11" s="836" t="s">
        <v>81</v>
      </c>
      <c r="R11" s="831">
        <f>R7</f>
        <v>19.599435564957187</v>
      </c>
    </row>
    <row r="12" spans="2:19" ht="13.8" x14ac:dyDescent="0.25">
      <c r="B12" s="102" t="s">
        <v>37</v>
      </c>
      <c r="C12" s="90"/>
      <c r="D12" s="90"/>
      <c r="E12" s="81" t="s">
        <v>38</v>
      </c>
      <c r="F12" s="101"/>
      <c r="G12" s="178"/>
      <c r="H12" s="575" t="s">
        <v>37</v>
      </c>
      <c r="I12" s="565"/>
      <c r="J12" s="565"/>
      <c r="K12" s="576" t="s">
        <v>38</v>
      </c>
      <c r="L12" s="574"/>
      <c r="M12" s="90"/>
      <c r="N12" s="178"/>
      <c r="O12" s="836"/>
      <c r="P12" s="835" t="s">
        <v>55</v>
      </c>
      <c r="Q12" s="836" t="s">
        <v>122</v>
      </c>
      <c r="R12" s="831">
        <f>K34</f>
        <v>5.8798306694871556</v>
      </c>
    </row>
    <row r="13" spans="2:19" ht="13.8" x14ac:dyDescent="0.25">
      <c r="B13" s="100" t="s">
        <v>14</v>
      </c>
      <c r="C13" s="90"/>
      <c r="D13" s="103">
        <v>0.20200000000000001</v>
      </c>
      <c r="E13" s="90"/>
      <c r="F13" s="92">
        <v>13603.851612578137</v>
      </c>
      <c r="G13" s="118"/>
      <c r="H13" s="573" t="s">
        <v>14</v>
      </c>
      <c r="I13" s="565"/>
      <c r="J13" s="577">
        <f>'Master Lookup'!C30</f>
        <v>0.224</v>
      </c>
      <c r="K13" s="561"/>
      <c r="L13" s="564">
        <f>L10*J13</f>
        <v>16818.780159999998</v>
      </c>
      <c r="M13" s="175"/>
      <c r="N13" s="118"/>
      <c r="O13" s="834" t="s">
        <v>82</v>
      </c>
      <c r="P13" s="835" t="s">
        <v>83</v>
      </c>
      <c r="Q13" s="836" t="s">
        <v>73</v>
      </c>
      <c r="R13" s="831">
        <f>R8</f>
        <v>19.599435564957187</v>
      </c>
    </row>
    <row r="14" spans="2:19" ht="13.8" x14ac:dyDescent="0.25">
      <c r="B14" s="96" t="s">
        <v>39</v>
      </c>
      <c r="C14" s="97"/>
      <c r="D14" s="97"/>
      <c r="E14" s="104"/>
      <c r="F14" s="99">
        <v>80949.651674846129</v>
      </c>
      <c r="G14" s="118"/>
      <c r="H14" s="569" t="s">
        <v>39</v>
      </c>
      <c r="I14" s="570"/>
      <c r="J14" s="570"/>
      <c r="K14" s="578"/>
      <c r="L14" s="572">
        <f>L10+L13</f>
        <v>91902.620159999991</v>
      </c>
      <c r="M14" s="177"/>
      <c r="N14" s="118"/>
      <c r="O14" s="836"/>
      <c r="P14" s="835" t="s">
        <v>84</v>
      </c>
      <c r="Q14" s="836" t="s">
        <v>85</v>
      </c>
      <c r="R14" s="837">
        <f>K31</f>
        <v>78.397742259828746</v>
      </c>
    </row>
    <row r="15" spans="2:19" ht="13.8" x14ac:dyDescent="0.25">
      <c r="B15" s="100"/>
      <c r="C15" s="90"/>
      <c r="D15" s="90" t="s">
        <v>40</v>
      </c>
      <c r="E15" s="90"/>
      <c r="F15" s="101"/>
      <c r="G15" s="118"/>
      <c r="H15" s="573"/>
      <c r="I15" s="565"/>
      <c r="J15" s="565" t="s">
        <v>40</v>
      </c>
      <c r="K15" s="561"/>
      <c r="L15" s="574"/>
      <c r="M15" s="90"/>
      <c r="N15" s="118"/>
      <c r="O15" s="836"/>
      <c r="P15" s="835" t="s">
        <v>86</v>
      </c>
      <c r="Q15" s="836" t="s">
        <v>75</v>
      </c>
      <c r="R15" s="831">
        <f>K35</f>
        <v>17.639492008461467</v>
      </c>
    </row>
    <row r="16" spans="2:19" ht="13.8" x14ac:dyDescent="0.25">
      <c r="B16" s="100" t="s">
        <v>15</v>
      </c>
      <c r="C16" s="90"/>
      <c r="D16" s="105">
        <v>6802</v>
      </c>
      <c r="E16" s="106"/>
      <c r="F16" s="107">
        <v>9454.7800000000007</v>
      </c>
      <c r="G16" s="118"/>
      <c r="H16" s="573" t="s">
        <v>15</v>
      </c>
      <c r="I16" s="565"/>
      <c r="J16" s="579">
        <f>'Master Lookup'!C25</f>
        <v>6983.3104000000003</v>
      </c>
      <c r="K16" s="580"/>
      <c r="L16" s="581">
        <f>J16*K10</f>
        <v>10474.9656</v>
      </c>
      <c r="M16" s="179"/>
      <c r="N16" s="441"/>
      <c r="O16" s="838"/>
      <c r="P16" s="838"/>
      <c r="Q16" s="838"/>
      <c r="R16" s="838"/>
    </row>
    <row r="17" spans="2:18" ht="13.95" x14ac:dyDescent="0.3">
      <c r="B17" s="100"/>
      <c r="C17" s="90"/>
      <c r="D17" s="105"/>
      <c r="E17" s="106"/>
      <c r="F17" s="107"/>
      <c r="G17" s="118"/>
      <c r="H17" s="573" t="str">
        <f>'Master Lookup'!B29</f>
        <v>PFMLA</v>
      </c>
      <c r="I17" s="565"/>
      <c r="J17" s="582">
        <f>'Master Lookup'!C29</f>
        <v>3.7000000000000002E-3</v>
      </c>
      <c r="K17" s="580"/>
      <c r="L17" s="581">
        <f>L10*J17</f>
        <v>277.81020799999999</v>
      </c>
      <c r="M17" s="179"/>
      <c r="N17" s="118"/>
      <c r="O17" s="178"/>
      <c r="P17" s="178"/>
      <c r="Q17" s="178"/>
      <c r="R17" s="178"/>
    </row>
    <row r="18" spans="2:18" ht="14.55" thickBot="1" x14ac:dyDescent="0.35">
      <c r="B18" s="108" t="s">
        <v>16</v>
      </c>
      <c r="C18" s="109"/>
      <c r="D18" s="110">
        <v>1382</v>
      </c>
      <c r="E18" s="111"/>
      <c r="F18" s="112">
        <v>1920.9800000000002</v>
      </c>
      <c r="G18" s="136"/>
      <c r="H18" s="583" t="s">
        <v>16</v>
      </c>
      <c r="I18" s="584"/>
      <c r="J18" s="585">
        <f>'Master Lookup'!C26</f>
        <v>1250.2064</v>
      </c>
      <c r="K18" s="586"/>
      <c r="L18" s="581">
        <f>J18*K10</f>
        <v>1875.3096</v>
      </c>
      <c r="M18" s="179"/>
      <c r="N18" s="136"/>
    </row>
    <row r="19" spans="2:18" ht="14.55" thickTop="1" x14ac:dyDescent="0.3">
      <c r="B19" s="84" t="s">
        <v>41</v>
      </c>
      <c r="C19" s="85"/>
      <c r="D19" s="85"/>
      <c r="E19" s="85"/>
      <c r="F19" s="113">
        <v>92325.411674846124</v>
      </c>
      <c r="G19" s="88"/>
      <c r="H19" s="587" t="s">
        <v>41</v>
      </c>
      <c r="I19" s="588"/>
      <c r="J19" s="588"/>
      <c r="K19" s="589"/>
      <c r="L19" s="590">
        <f>SUM(L14:L18)</f>
        <v>104530.70556799998</v>
      </c>
      <c r="M19" s="177"/>
      <c r="N19" s="88"/>
    </row>
    <row r="20" spans="2:18" ht="14.55" thickBot="1" x14ac:dyDescent="0.35">
      <c r="B20" s="108" t="s">
        <v>42</v>
      </c>
      <c r="C20" s="114"/>
      <c r="D20" s="115">
        <v>0.12583357988637983</v>
      </c>
      <c r="E20" s="109"/>
      <c r="F20" s="116">
        <v>11617.637065529654</v>
      </c>
      <c r="G20" s="88"/>
      <c r="H20" s="591" t="s">
        <v>42</v>
      </c>
      <c r="I20" s="592"/>
      <c r="J20" s="593">
        <f>'Master Lookup'!C31</f>
        <v>0.12</v>
      </c>
      <c r="K20" s="594"/>
      <c r="L20" s="595">
        <f>L19*J20</f>
        <v>12543.684668159996</v>
      </c>
      <c r="M20" s="175"/>
      <c r="N20" s="88"/>
    </row>
    <row r="21" spans="2:18" ht="14.4" thickTop="1" x14ac:dyDescent="0.25">
      <c r="B21" s="84" t="s">
        <v>43</v>
      </c>
      <c r="C21" s="117"/>
      <c r="D21" s="117"/>
      <c r="E21" s="117"/>
      <c r="F21" s="113">
        <v>103943.04874037577</v>
      </c>
      <c r="G21" s="118"/>
      <c r="H21" s="587" t="s">
        <v>43</v>
      </c>
      <c r="I21" s="596"/>
      <c r="J21" s="596"/>
      <c r="K21" s="597"/>
      <c r="L21" s="590">
        <f>L19+L20</f>
        <v>117074.39023615998</v>
      </c>
      <c r="M21" s="177"/>
      <c r="N21" s="733"/>
      <c r="O21" s="733"/>
      <c r="P21" s="733"/>
    </row>
    <row r="22" spans="2:18" ht="14.4" thickBot="1" x14ac:dyDescent="0.3">
      <c r="B22" s="119" t="s">
        <v>44</v>
      </c>
      <c r="C22" s="120"/>
      <c r="D22" s="121"/>
      <c r="E22" s="122"/>
      <c r="F22" s="123">
        <v>66.364700646373336</v>
      </c>
      <c r="G22" s="180">
        <v>69.019288672228271</v>
      </c>
      <c r="H22" s="598" t="s">
        <v>296</v>
      </c>
      <c r="I22" s="596"/>
      <c r="J22" s="560">
        <f>'Master Lookup'!C35</f>
        <v>2.3997532813331963E-2</v>
      </c>
      <c r="K22" s="597"/>
      <c r="L22" s="590">
        <f>L21+(L21*J22)-(L10*J22)</f>
        <v>118082.05984330209</v>
      </c>
      <c r="M22" s="181"/>
      <c r="N22" s="733"/>
      <c r="O22" s="733"/>
      <c r="P22" s="733"/>
    </row>
    <row r="23" spans="2:18" ht="12.75" customHeight="1" x14ac:dyDescent="0.25">
      <c r="B23" s="119" t="s">
        <v>51</v>
      </c>
      <c r="C23" s="120"/>
      <c r="D23" s="121">
        <v>0</v>
      </c>
      <c r="E23" s="122"/>
      <c r="F23" s="123">
        <v>66.364700646373336</v>
      </c>
      <c r="G23" s="164"/>
      <c r="H23" s="599" t="s">
        <v>467</v>
      </c>
      <c r="I23" s="600"/>
      <c r="J23" s="600"/>
      <c r="K23" s="600"/>
      <c r="L23" s="689">
        <f>L22/L4-0.01</f>
        <v>78.397742259828746</v>
      </c>
      <c r="M23" s="531"/>
      <c r="N23" s="733"/>
      <c r="O23" s="733"/>
      <c r="P23" s="733"/>
      <c r="R23" s="245"/>
    </row>
    <row r="24" spans="2:18" ht="13.5" customHeight="1" thickBot="1" x14ac:dyDescent="0.3">
      <c r="B24" s="125" t="s">
        <v>56</v>
      </c>
      <c r="C24" s="126"/>
      <c r="D24" s="63"/>
      <c r="E24" s="127"/>
      <c r="F24" s="182">
        <v>13.80723506161608</v>
      </c>
      <c r="G24" s="183"/>
      <c r="H24" s="601"/>
      <c r="I24" s="602"/>
      <c r="J24" s="603"/>
      <c r="K24" s="602"/>
      <c r="L24" s="604"/>
      <c r="M24" s="184"/>
      <c r="N24" s="733"/>
      <c r="O24" s="733"/>
      <c r="P24" s="733"/>
    </row>
    <row r="25" spans="2:18" ht="12.75" customHeight="1" x14ac:dyDescent="0.25">
      <c r="B25" s="77"/>
      <c r="C25" s="133"/>
      <c r="D25" s="134"/>
      <c r="E25" s="137"/>
      <c r="F25" s="137"/>
      <c r="G25" s="132"/>
      <c r="H25" s="90"/>
      <c r="I25" s="90"/>
      <c r="J25" s="66"/>
      <c r="K25" s="238"/>
      <c r="L25" s="239"/>
      <c r="M25" s="442"/>
      <c r="N25" s="733"/>
      <c r="O25" s="733"/>
      <c r="P25" s="733"/>
    </row>
    <row r="26" spans="2:18" ht="13.5" customHeight="1" x14ac:dyDescent="0.25">
      <c r="B26" s="178"/>
      <c r="C26" s="178"/>
      <c r="D26" s="178"/>
      <c r="E26" s="178"/>
      <c r="F26" s="178"/>
      <c r="G26" s="132"/>
      <c r="H26" s="128"/>
      <c r="I26" s="128"/>
      <c r="J26" s="129"/>
      <c r="K26" s="240"/>
      <c r="L26" s="440"/>
      <c r="M26" s="132"/>
      <c r="N26" s="733"/>
      <c r="O26" s="733"/>
      <c r="P26" s="733"/>
    </row>
    <row r="27" spans="2:18" ht="12.75" customHeight="1" x14ac:dyDescent="0.25">
      <c r="B27" s="178"/>
      <c r="C27" s="178"/>
      <c r="D27" s="178"/>
      <c r="E27" s="178"/>
      <c r="F27" s="178"/>
      <c r="G27" s="132"/>
      <c r="H27" s="185" t="s">
        <v>57</v>
      </c>
      <c r="I27" s="178"/>
      <c r="J27" s="178"/>
      <c r="K27" s="178"/>
      <c r="L27" s="241"/>
      <c r="M27" s="132"/>
      <c r="N27" s="733"/>
      <c r="O27" s="733"/>
      <c r="P27" s="733"/>
      <c r="Q27" s="245"/>
    </row>
    <row r="28" spans="2:18" ht="12.75" customHeight="1" thickBot="1" x14ac:dyDescent="0.3">
      <c r="B28" s="77"/>
      <c r="C28" s="77"/>
      <c r="D28" s="77"/>
      <c r="E28" s="77"/>
      <c r="F28" s="77"/>
      <c r="G28" s="132"/>
      <c r="H28" s="186"/>
      <c r="I28" s="186"/>
      <c r="J28" s="186"/>
      <c r="K28" s="186"/>
      <c r="L28" s="132"/>
      <c r="M28" s="135"/>
      <c r="N28" s="733"/>
      <c r="O28" s="733"/>
      <c r="P28" s="733"/>
    </row>
    <row r="29" spans="2:18" x14ac:dyDescent="0.25">
      <c r="B29" s="77"/>
      <c r="C29" s="77"/>
      <c r="D29" s="77"/>
      <c r="E29" s="77"/>
      <c r="F29" s="77"/>
      <c r="G29" s="132"/>
      <c r="H29" s="5" t="s">
        <v>58</v>
      </c>
      <c r="I29" s="187"/>
      <c r="J29" s="187"/>
      <c r="K29" s="187"/>
      <c r="L29" s="138"/>
      <c r="M29" s="135"/>
      <c r="N29" s="135"/>
    </row>
    <row r="30" spans="2:18" x14ac:dyDescent="0.25">
      <c r="B30" s="166" t="s">
        <v>61</v>
      </c>
      <c r="C30" s="166" t="s">
        <v>62</v>
      </c>
      <c r="D30" s="166" t="s">
        <v>63</v>
      </c>
      <c r="E30" s="166" t="s">
        <v>64</v>
      </c>
      <c r="F30" s="77"/>
      <c r="G30" s="132"/>
      <c r="H30" s="6" t="s">
        <v>231</v>
      </c>
      <c r="I30" s="738" t="s">
        <v>60</v>
      </c>
      <c r="J30" s="739"/>
      <c r="K30" s="839">
        <v>1506</v>
      </c>
      <c r="L30" s="138"/>
      <c r="M30" s="844"/>
      <c r="N30" s="88"/>
    </row>
    <row r="31" spans="2:18" ht="16.5" customHeight="1" x14ac:dyDescent="0.25">
      <c r="B31" s="167" t="s">
        <v>66</v>
      </c>
      <c r="C31" s="168" t="s">
        <v>67</v>
      </c>
      <c r="D31" s="169" t="s">
        <v>68</v>
      </c>
      <c r="E31" s="170">
        <v>0</v>
      </c>
      <c r="F31" s="77"/>
      <c r="G31" s="135"/>
      <c r="H31" s="740" t="s">
        <v>65</v>
      </c>
      <c r="I31" s="741"/>
      <c r="J31" s="188"/>
      <c r="K31" s="840">
        <f>L23</f>
        <v>78.397742259828746</v>
      </c>
      <c r="L31" s="138"/>
      <c r="M31" s="845"/>
      <c r="N31" s="532"/>
      <c r="O31" s="245"/>
    </row>
    <row r="32" spans="2:18" ht="16.5" customHeight="1" x14ac:dyDescent="0.25">
      <c r="B32" s="169"/>
      <c r="C32" s="168" t="s">
        <v>69</v>
      </c>
      <c r="D32" s="169" t="s">
        <v>70</v>
      </c>
      <c r="E32" s="170">
        <v>0</v>
      </c>
      <c r="F32" s="77"/>
      <c r="G32" s="88"/>
      <c r="H32" s="189" t="s">
        <v>120</v>
      </c>
      <c r="I32" s="190"/>
      <c r="J32" s="190"/>
      <c r="K32" s="841">
        <f>K31*1.5</f>
        <v>117.59661338974311</v>
      </c>
      <c r="L32" s="138"/>
      <c r="M32" s="846"/>
      <c r="N32" s="532"/>
      <c r="O32" s="245"/>
      <c r="P32" s="536"/>
    </row>
    <row r="33" spans="2:15" ht="16.5" customHeight="1" thickBot="1" x14ac:dyDescent="0.3">
      <c r="B33" s="169"/>
      <c r="C33" s="168" t="s">
        <v>72</v>
      </c>
      <c r="D33" s="169" t="s">
        <v>73</v>
      </c>
      <c r="E33" s="170">
        <v>0</v>
      </c>
      <c r="F33" s="77"/>
      <c r="G33" s="136"/>
      <c r="H33" s="192" t="s">
        <v>71</v>
      </c>
      <c r="I33" s="193"/>
      <c r="J33" s="193"/>
      <c r="K33" s="842">
        <f>K32/5</f>
        <v>23.519322677948622</v>
      </c>
      <c r="L33" s="847"/>
      <c r="M33" s="846"/>
      <c r="N33" s="532"/>
      <c r="O33" s="245"/>
    </row>
    <row r="34" spans="2:15" ht="16.5" customHeight="1" thickBot="1" x14ac:dyDescent="0.3">
      <c r="B34" s="169"/>
      <c r="C34" s="168" t="s">
        <v>59</v>
      </c>
      <c r="D34" s="169" t="s">
        <v>75</v>
      </c>
      <c r="E34" s="171">
        <v>13.80723506161608</v>
      </c>
      <c r="F34" s="77"/>
      <c r="G34" s="88"/>
      <c r="H34" s="194" t="s">
        <v>74</v>
      </c>
      <c r="I34" s="195"/>
      <c r="J34" s="195"/>
      <c r="K34" s="843">
        <f>K33*0.25</f>
        <v>5.8798306694871556</v>
      </c>
      <c r="L34" s="848"/>
      <c r="M34" s="849"/>
      <c r="N34" s="532"/>
      <c r="O34" s="245"/>
    </row>
    <row r="35" spans="2:15" ht="16.5" customHeight="1" thickBot="1" x14ac:dyDescent="0.3">
      <c r="G35" s="178"/>
      <c r="H35" s="197" t="s">
        <v>76</v>
      </c>
      <c r="I35" s="198"/>
      <c r="J35" s="198"/>
      <c r="K35" s="843">
        <f>K34*3</f>
        <v>17.639492008461467</v>
      </c>
      <c r="L35" s="138"/>
      <c r="M35" s="849"/>
      <c r="N35" s="532"/>
      <c r="O35" s="245"/>
    </row>
    <row r="36" spans="2:15" x14ac:dyDescent="0.25">
      <c r="G36" s="79"/>
      <c r="H36" s="136"/>
      <c r="I36" s="136"/>
      <c r="J36" s="136"/>
      <c r="K36" s="136"/>
      <c r="L36" s="136"/>
      <c r="M36" s="79"/>
      <c r="N36" s="88"/>
    </row>
    <row r="37" spans="2:15" x14ac:dyDescent="0.25">
      <c r="G37" s="172"/>
      <c r="H37" s="173"/>
      <c r="I37" s="173"/>
      <c r="J37" s="173"/>
      <c r="K37" s="173"/>
      <c r="L37" s="79"/>
      <c r="M37" s="118"/>
      <c r="N37" s="79"/>
    </row>
    <row r="38" spans="2:15" x14ac:dyDescent="0.25">
      <c r="G38" s="90"/>
      <c r="H38" s="67"/>
      <c r="I38" s="124"/>
      <c r="J38" s="196"/>
      <c r="K38" s="690"/>
      <c r="L38" s="453"/>
      <c r="M38" s="175"/>
      <c r="N38" s="175"/>
    </row>
    <row r="39" spans="2:15" x14ac:dyDescent="0.25">
      <c r="G39" s="173"/>
      <c r="H39" s="67"/>
      <c r="I39" s="124"/>
      <c r="J39" s="196"/>
      <c r="K39" s="690"/>
      <c r="L39" s="454"/>
      <c r="M39" s="175"/>
      <c r="N39" s="454"/>
    </row>
    <row r="40" spans="2:15" x14ac:dyDescent="0.25">
      <c r="H40" s="175"/>
      <c r="I40" s="175"/>
      <c r="J40" s="175"/>
      <c r="K40" s="691"/>
      <c r="L40" s="175"/>
    </row>
    <row r="41" spans="2:15" x14ac:dyDescent="0.25">
      <c r="M41" s="346"/>
    </row>
    <row r="43" spans="2:15" x14ac:dyDescent="0.25">
      <c r="H43" s="346"/>
      <c r="I43" s="346"/>
      <c r="J43" s="346"/>
      <c r="K43" s="346"/>
      <c r="L43" s="346"/>
    </row>
  </sheetData>
  <mergeCells count="5">
    <mergeCell ref="H2:L2"/>
    <mergeCell ref="B3:F3"/>
    <mergeCell ref="N21:P28"/>
    <mergeCell ref="I30:J30"/>
    <mergeCell ref="H31:I31"/>
  </mergeCells>
  <pageMargins left="0.25" right="0.25" top="0.75" bottom="0.75" header="0.3" footer="0.3"/>
  <pageSetup scale="71" fitToHeight="0" orientation="landscape" cellComments="asDisplayed" r:id="rId1"/>
  <headerFooter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I16" sqref="I16"/>
    </sheetView>
  </sheetViews>
  <sheetFormatPr defaultColWidth="9.109375" defaultRowHeight="13.2" x14ac:dyDescent="0.25"/>
  <cols>
    <col min="1" max="1" width="9.109375" style="60"/>
    <col min="2" max="2" width="41.6640625" style="60" customWidth="1"/>
    <col min="3" max="3" width="6" style="60" customWidth="1"/>
    <col min="4" max="5" width="13.5546875" style="60" customWidth="1"/>
    <col min="6" max="6" width="16.5546875" style="60" customWidth="1"/>
    <col min="7" max="16384" width="9.109375" style="60"/>
  </cols>
  <sheetData>
    <row r="1" spans="1:10" ht="13.05" thickBot="1" x14ac:dyDescent="0.3"/>
    <row r="2" spans="1:10" ht="13.5" thickBot="1" x14ac:dyDescent="0.35">
      <c r="A2" s="77"/>
      <c r="B2" s="742" t="s">
        <v>88</v>
      </c>
      <c r="C2" s="743"/>
      <c r="D2" s="743"/>
      <c r="E2" s="743"/>
      <c r="F2" s="744"/>
      <c r="G2" s="78"/>
    </row>
    <row r="3" spans="1:10" ht="13.5" thickBot="1" x14ac:dyDescent="0.35">
      <c r="A3" s="77"/>
      <c r="B3" s="252" t="s">
        <v>89</v>
      </c>
      <c r="C3" s="249"/>
      <c r="D3" s="249"/>
      <c r="E3" s="249"/>
      <c r="F3" s="250"/>
      <c r="G3" s="79"/>
    </row>
    <row r="4" spans="1:10" ht="13.05" x14ac:dyDescent="0.3">
      <c r="A4" s="77"/>
      <c r="B4" s="251"/>
      <c r="C4" s="80"/>
      <c r="D4" s="81" t="s">
        <v>48</v>
      </c>
      <c r="E4" s="77"/>
      <c r="F4" s="82">
        <v>1394</v>
      </c>
    </row>
    <row r="5" spans="1:10" ht="14.25" customHeight="1" x14ac:dyDescent="0.3">
      <c r="A5" s="77"/>
      <c r="B5" s="84"/>
      <c r="C5" s="85"/>
      <c r="D5" s="86" t="s">
        <v>33</v>
      </c>
      <c r="E5" s="86" t="s">
        <v>34</v>
      </c>
      <c r="F5" s="87" t="s">
        <v>35</v>
      </c>
    </row>
    <row r="6" spans="1:10" ht="13.05" x14ac:dyDescent="0.3">
      <c r="A6" s="77"/>
      <c r="B6" s="89" t="str">
        <f>'Master Lookup'!B13</f>
        <v>Program Management</v>
      </c>
      <c r="C6" s="90"/>
      <c r="D6" s="488">
        <f>'Master Lookup'!C13</f>
        <v>66664</v>
      </c>
      <c r="E6" s="636">
        <v>0.05</v>
      </c>
      <c r="F6" s="92">
        <f>D6*E6</f>
        <v>3333.2000000000003</v>
      </c>
    </row>
    <row r="7" spans="1:10" ht="13.05" x14ac:dyDescent="0.3">
      <c r="A7" s="77"/>
      <c r="B7" s="533" t="str">
        <f>'Master Lookup'!B17</f>
        <v>Clinical  (LICSW)</v>
      </c>
      <c r="C7" s="608"/>
      <c r="D7" s="605">
        <f>'Master Lookup'!C17</f>
        <v>60923.199999999997</v>
      </c>
      <c r="E7" s="609">
        <v>0.1</v>
      </c>
      <c r="F7" s="92">
        <f>D7*E7</f>
        <v>6092.32</v>
      </c>
    </row>
    <row r="8" spans="1:10" ht="14.55" x14ac:dyDescent="0.35">
      <c r="A8" s="77"/>
      <c r="B8" s="606" t="str">
        <f>'Master Lookup'!B18</f>
        <v>Clinician (MA Level)</v>
      </c>
      <c r="C8" s="608"/>
      <c r="D8" s="605">
        <f>'Master Lookup'!C18</f>
        <v>52665.599999999999</v>
      </c>
      <c r="E8" s="609">
        <v>1</v>
      </c>
      <c r="F8" s="92">
        <f>D8*E8</f>
        <v>52665.599999999999</v>
      </c>
      <c r="J8" s="205"/>
    </row>
    <row r="9" spans="1:10" ht="14.55" x14ac:dyDescent="0.35">
      <c r="A9" s="77"/>
      <c r="B9" s="607" t="str">
        <f>'Master Lookup'!B22</f>
        <v>Support Staffing</v>
      </c>
      <c r="C9" s="608"/>
      <c r="D9" s="605">
        <f>'Master Lookup'!C22</f>
        <v>32198.400000000001</v>
      </c>
      <c r="E9" s="610">
        <v>0.3</v>
      </c>
      <c r="F9" s="92">
        <f>D9*E9</f>
        <v>9659.52</v>
      </c>
      <c r="J9" s="205"/>
    </row>
    <row r="10" spans="1:10" ht="14.55" x14ac:dyDescent="0.35">
      <c r="A10" s="77"/>
      <c r="B10" s="611" t="s">
        <v>36</v>
      </c>
      <c r="C10" s="612"/>
      <c r="D10" s="612"/>
      <c r="E10" s="613">
        <f>SUM(E6:E9)</f>
        <v>1.45</v>
      </c>
      <c r="F10" s="99">
        <f>SUM(F6:F9)</f>
        <v>71750.64</v>
      </c>
      <c r="J10" s="205"/>
    </row>
    <row r="11" spans="1:10" ht="14.55" x14ac:dyDescent="0.35">
      <c r="A11" s="77"/>
      <c r="B11" s="614"/>
      <c r="C11" s="608"/>
      <c r="D11" s="608"/>
      <c r="E11" s="608"/>
      <c r="F11" s="101"/>
      <c r="J11" s="205"/>
    </row>
    <row r="12" spans="1:10" ht="13.05" x14ac:dyDescent="0.3">
      <c r="A12" s="77"/>
      <c r="B12" s="615" t="s">
        <v>37</v>
      </c>
      <c r="C12" s="608"/>
      <c r="D12" s="608"/>
      <c r="E12" s="616" t="s">
        <v>38</v>
      </c>
      <c r="F12" s="101"/>
    </row>
    <row r="13" spans="1:10" ht="12.45" x14ac:dyDescent="0.25">
      <c r="A13" s="77"/>
      <c r="B13" s="614" t="s">
        <v>14</v>
      </c>
      <c r="C13" s="608"/>
      <c r="D13" s="617">
        <f>'Master Lookup'!C30</f>
        <v>0.224</v>
      </c>
      <c r="E13" s="608"/>
      <c r="F13" s="92">
        <f>F10*D13</f>
        <v>16072.14336</v>
      </c>
    </row>
    <row r="14" spans="1:10" ht="13.05" x14ac:dyDescent="0.3">
      <c r="A14" s="77"/>
      <c r="B14" s="611" t="s">
        <v>39</v>
      </c>
      <c r="C14" s="612"/>
      <c r="D14" s="612"/>
      <c r="E14" s="618"/>
      <c r="F14" s="99">
        <f>F13+F10</f>
        <v>87822.783360000001</v>
      </c>
    </row>
    <row r="15" spans="1:10" ht="12.45" x14ac:dyDescent="0.25">
      <c r="A15" s="77"/>
      <c r="B15" s="614"/>
      <c r="C15" s="608"/>
      <c r="D15" s="608" t="s">
        <v>40</v>
      </c>
      <c r="E15" s="608"/>
      <c r="F15" s="101"/>
    </row>
    <row r="16" spans="1:10" ht="12.45" x14ac:dyDescent="0.25">
      <c r="A16" s="77"/>
      <c r="B16" s="614" t="s">
        <v>15</v>
      </c>
      <c r="C16" s="608"/>
      <c r="D16" s="619">
        <f>'Master Lookup'!C25</f>
        <v>6983.3104000000003</v>
      </c>
      <c r="E16" s="620"/>
      <c r="F16" s="107">
        <f>D16*E10</f>
        <v>10125.800080000001</v>
      </c>
      <c r="G16" s="118"/>
    </row>
    <row r="17" spans="1:9" ht="12.45" x14ac:dyDescent="0.25">
      <c r="A17" s="77"/>
      <c r="B17" s="614" t="str">
        <f>'Master Lookup'!B29</f>
        <v>PFMLA</v>
      </c>
      <c r="C17" s="608"/>
      <c r="D17" s="621">
        <f>'Master Lookup'!C29</f>
        <v>3.7000000000000002E-3</v>
      </c>
      <c r="E17" s="620"/>
      <c r="F17" s="107">
        <f>D17*F10</f>
        <v>265.47736800000001</v>
      </c>
      <c r="G17" s="118"/>
    </row>
    <row r="18" spans="1:9" ht="13.5" thickBot="1" x14ac:dyDescent="0.35">
      <c r="A18" s="77"/>
      <c r="B18" s="622" t="s">
        <v>16</v>
      </c>
      <c r="C18" s="623"/>
      <c r="D18" s="624">
        <f>'Master Lookup'!C26</f>
        <v>1250.2064</v>
      </c>
      <c r="E18" s="625"/>
      <c r="F18" s="394">
        <f>D18*E10</f>
        <v>1812.79928</v>
      </c>
      <c r="G18" s="136"/>
    </row>
    <row r="19" spans="1:9" ht="13.5" thickTop="1" x14ac:dyDescent="0.3">
      <c r="A19" s="77"/>
      <c r="B19" s="626" t="s">
        <v>41</v>
      </c>
      <c r="C19" s="627"/>
      <c r="D19" s="627"/>
      <c r="E19" s="627"/>
      <c r="F19" s="113">
        <f>SUM(F14:F18)</f>
        <v>100026.86008800002</v>
      </c>
      <c r="G19" s="88"/>
    </row>
    <row r="20" spans="1:9" ht="13.05" thickBot="1" x14ac:dyDescent="0.3">
      <c r="A20" s="77"/>
      <c r="B20" s="628" t="s">
        <v>42</v>
      </c>
      <c r="C20" s="629"/>
      <c r="D20" s="630">
        <f>'Master Lookup'!C31</f>
        <v>0.12</v>
      </c>
      <c r="E20" s="631"/>
      <c r="F20" s="116">
        <f>F19*D20</f>
        <v>12003.223210560001</v>
      </c>
      <c r="G20" s="88"/>
    </row>
    <row r="21" spans="1:9" ht="13.5" thickTop="1" x14ac:dyDescent="0.3">
      <c r="A21" s="77"/>
      <c r="B21" s="626" t="s">
        <v>43</v>
      </c>
      <c r="C21" s="632"/>
      <c r="D21" s="632"/>
      <c r="E21" s="632"/>
      <c r="F21" s="113">
        <f>F19+F20</f>
        <v>112030.08329856001</v>
      </c>
      <c r="G21" s="118"/>
    </row>
    <row r="22" spans="1:9" ht="13.5" thickBot="1" x14ac:dyDescent="0.35">
      <c r="A22" s="77"/>
      <c r="B22" s="598" t="s">
        <v>296</v>
      </c>
      <c r="C22" s="633"/>
      <c r="D22" s="560">
        <f>'Master Lookup'!C35</f>
        <v>2.3997532813331963E-2</v>
      </c>
      <c r="E22" s="634"/>
      <c r="F22" s="113">
        <f>F21+(D22*F21)-(F10*D22)</f>
        <v>112996.69056081994</v>
      </c>
      <c r="G22" s="118"/>
      <c r="H22" s="402"/>
    </row>
    <row r="23" spans="1:9" ht="12.45" x14ac:dyDescent="0.25">
      <c r="A23" s="77"/>
      <c r="B23" s="635" t="s">
        <v>466</v>
      </c>
      <c r="C23" s="632"/>
      <c r="D23" s="632"/>
      <c r="E23" s="632"/>
      <c r="F23" s="850">
        <f>F22/((E8)*F4)-0.02</f>
        <v>81.039318910200819</v>
      </c>
      <c r="G23" s="441"/>
    </row>
    <row r="24" spans="1:9" ht="13.5" thickBot="1" x14ac:dyDescent="0.35">
      <c r="A24" s="77"/>
      <c r="B24" s="125" t="s">
        <v>90</v>
      </c>
      <c r="C24" s="126"/>
      <c r="D24" s="126"/>
      <c r="E24" s="127"/>
      <c r="F24" s="296">
        <f>F23/2</f>
        <v>40.51965945510041</v>
      </c>
      <c r="G24" s="530"/>
      <c r="H24" s="245"/>
      <c r="I24" s="245"/>
    </row>
    <row r="25" spans="1:9" ht="13.05" x14ac:dyDescent="0.3">
      <c r="A25" s="77"/>
      <c r="B25" s="77"/>
      <c r="C25" s="77"/>
      <c r="D25" s="129"/>
      <c r="E25" s="67"/>
      <c r="F25" s="68"/>
      <c r="G25" s="132"/>
      <c r="H25" s="673"/>
    </row>
    <row r="26" spans="1:9" ht="13.05" x14ac:dyDescent="0.3">
      <c r="A26" s="77"/>
      <c r="B26" s="78"/>
      <c r="C26" s="78"/>
      <c r="D26" s="78"/>
      <c r="E26" s="69"/>
      <c r="F26" s="70"/>
      <c r="G26" s="132"/>
    </row>
    <row r="27" spans="1:9" ht="13.05" x14ac:dyDescent="0.3">
      <c r="A27" s="77"/>
      <c r="B27" s="77"/>
      <c r="C27" s="133"/>
      <c r="D27" s="134"/>
      <c r="G27" s="165"/>
    </row>
    <row r="28" spans="1:9" ht="12.45" x14ac:dyDescent="0.25">
      <c r="A28" s="77"/>
      <c r="B28" s="78"/>
      <c r="C28" s="78"/>
      <c r="D28" s="78"/>
      <c r="E28" s="78"/>
      <c r="F28" s="78"/>
      <c r="G28" s="132"/>
    </row>
    <row r="29" spans="1:9" ht="12.45" x14ac:dyDescent="0.25">
      <c r="A29" s="77"/>
      <c r="B29" s="77"/>
      <c r="C29" s="77"/>
      <c r="D29" s="77"/>
      <c r="E29" s="77"/>
      <c r="F29" s="77"/>
      <c r="G29" s="118"/>
    </row>
    <row r="30" spans="1:9" ht="13.05" x14ac:dyDescent="0.3">
      <c r="A30" s="71"/>
      <c r="B30" s="77"/>
      <c r="C30" s="77"/>
      <c r="D30" s="77"/>
      <c r="E30" s="77"/>
      <c r="F30" s="77"/>
      <c r="G30" s="118"/>
    </row>
    <row r="31" spans="1:9" ht="13.05" x14ac:dyDescent="0.3">
      <c r="A31" s="71"/>
      <c r="B31" s="77"/>
      <c r="C31" s="77"/>
      <c r="D31" s="77"/>
      <c r="E31" s="77"/>
      <c r="F31" s="77"/>
      <c r="G31" s="78"/>
    </row>
    <row r="32" spans="1:9" ht="13.05" x14ac:dyDescent="0.3">
      <c r="A32" s="71"/>
      <c r="B32" s="77"/>
      <c r="C32" s="77"/>
      <c r="D32" s="77"/>
      <c r="E32" s="77"/>
      <c r="F32" s="77"/>
      <c r="G32" s="78"/>
    </row>
    <row r="33" spans="1:7" ht="13.05" x14ac:dyDescent="0.3">
      <c r="A33" s="71"/>
      <c r="B33" s="77"/>
      <c r="C33" s="77"/>
      <c r="D33" s="77"/>
      <c r="E33" s="77"/>
      <c r="F33" s="77"/>
      <c r="G33" s="118"/>
    </row>
    <row r="34" spans="1:7" ht="13.05" x14ac:dyDescent="0.3">
      <c r="A34" s="71"/>
      <c r="B34" s="78"/>
      <c r="C34" s="78"/>
      <c r="D34" s="78"/>
      <c r="E34" s="78"/>
      <c r="F34" s="78"/>
      <c r="G34" s="118"/>
    </row>
    <row r="35" spans="1:7" x14ac:dyDescent="0.25">
      <c r="A35" s="71"/>
      <c r="B35" s="7"/>
      <c r="C35" s="138"/>
      <c r="D35" s="138"/>
      <c r="E35" s="139"/>
      <c r="F35" s="7"/>
      <c r="G35" s="118"/>
    </row>
    <row r="36" spans="1:7" x14ac:dyDescent="0.25">
      <c r="A36" s="77"/>
      <c r="B36" s="7"/>
      <c r="C36" s="138"/>
      <c r="D36" s="138"/>
      <c r="E36" s="139"/>
      <c r="F36" s="140"/>
      <c r="G36" s="140"/>
    </row>
    <row r="37" spans="1:7" x14ac:dyDescent="0.25">
      <c r="A37" s="77"/>
      <c r="B37" s="7"/>
      <c r="C37" s="138"/>
      <c r="D37" s="138"/>
      <c r="E37" s="139"/>
      <c r="F37" s="140"/>
      <c r="G37" s="140"/>
    </row>
    <row r="38" spans="1:7" x14ac:dyDescent="0.25">
      <c r="A38" s="77"/>
      <c r="B38" s="7"/>
      <c r="C38" s="138"/>
      <c r="D38" s="138"/>
      <c r="E38" s="139"/>
      <c r="F38" s="140"/>
      <c r="G38" s="140"/>
    </row>
    <row r="39" spans="1:7" x14ac:dyDescent="0.25">
      <c r="A39" s="77"/>
      <c r="B39" s="7"/>
      <c r="C39" s="138"/>
      <c r="D39" s="138"/>
      <c r="E39" s="139"/>
      <c r="F39" s="140"/>
      <c r="G39" s="140"/>
    </row>
    <row r="40" spans="1:7" x14ac:dyDescent="0.25">
      <c r="A40" s="77"/>
      <c r="B40" s="140"/>
      <c r="C40" s="140"/>
      <c r="D40" s="140"/>
      <c r="E40" s="140"/>
      <c r="F40" s="140"/>
      <c r="G40" s="140"/>
    </row>
    <row r="41" spans="1:7" x14ac:dyDescent="0.25">
      <c r="A41" s="77"/>
      <c r="B41" s="140"/>
      <c r="C41" s="140"/>
      <c r="D41" s="140"/>
      <c r="E41" s="140"/>
      <c r="F41" s="140"/>
      <c r="G41" s="140"/>
    </row>
  </sheetData>
  <mergeCells count="1">
    <mergeCell ref="B2:F2"/>
  </mergeCells>
  <pageMargins left="1" right="0.25" top="0.25" bottom="0.25" header="0.3" footer="0.3"/>
  <pageSetup fitToHeight="0" orientation="landscape" cellComments="asDisplayed" r:id="rId1"/>
  <headerFooter>
    <oddFooter>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opLeftCell="A13" workbookViewId="0">
      <selection activeCell="H15" sqref="H15"/>
    </sheetView>
  </sheetViews>
  <sheetFormatPr defaultColWidth="9.109375" defaultRowHeight="13.2" x14ac:dyDescent="0.25"/>
  <cols>
    <col min="1" max="1" width="9.109375" style="60"/>
    <col min="2" max="2" width="34" style="60" customWidth="1"/>
    <col min="3" max="3" width="9.109375" style="60"/>
    <col min="4" max="6" width="16.44140625" style="60" customWidth="1"/>
    <col min="7" max="7" width="12.88671875" style="60" customWidth="1"/>
    <col min="8" max="16384" width="9.109375" style="60"/>
  </cols>
  <sheetData>
    <row r="1" spans="1:8" ht="13.05" thickBot="1" x14ac:dyDescent="0.3">
      <c r="A1" s="77"/>
      <c r="B1" s="78"/>
      <c r="C1" s="78"/>
      <c r="D1" s="78"/>
      <c r="E1" s="78"/>
      <c r="F1" s="78"/>
      <c r="G1" s="78"/>
      <c r="H1" s="78"/>
    </row>
    <row r="2" spans="1:8" ht="13.5" thickBot="1" x14ac:dyDescent="0.35">
      <c r="A2" s="77"/>
      <c r="B2" s="725" t="s">
        <v>91</v>
      </c>
      <c r="C2" s="726"/>
      <c r="D2" s="726"/>
      <c r="E2" s="726"/>
      <c r="F2" s="727"/>
      <c r="G2" s="79"/>
      <c r="H2" s="79"/>
    </row>
    <row r="3" spans="1:8" ht="13.05" x14ac:dyDescent="0.3">
      <c r="A3" s="77"/>
      <c r="B3" s="253" t="s">
        <v>92</v>
      </c>
      <c r="C3" s="80"/>
      <c r="D3" s="81" t="s">
        <v>48</v>
      </c>
      <c r="E3" s="77"/>
      <c r="F3" s="82">
        <v>1416</v>
      </c>
      <c r="G3" s="83"/>
      <c r="H3" s="83"/>
    </row>
    <row r="4" spans="1:8" ht="15.75" customHeight="1" x14ac:dyDescent="0.3">
      <c r="A4" s="77"/>
      <c r="B4" s="84"/>
      <c r="C4" s="85"/>
      <c r="D4" s="86" t="s">
        <v>33</v>
      </c>
      <c r="E4" s="86" t="s">
        <v>34</v>
      </c>
      <c r="F4" s="87" t="s">
        <v>35</v>
      </c>
      <c r="G4" s="88"/>
      <c r="H4" s="88"/>
    </row>
    <row r="5" spans="1:8" ht="15" customHeight="1" x14ac:dyDescent="0.3">
      <c r="A5" s="77"/>
      <c r="B5" s="533" t="str">
        <f>'Master Lookup'!B13</f>
        <v>Program Management</v>
      </c>
      <c r="C5" s="608"/>
      <c r="D5" s="488">
        <f>'Master Lookup'!C13</f>
        <v>66664</v>
      </c>
      <c r="E5" s="610">
        <v>0.05</v>
      </c>
      <c r="F5" s="92">
        <f>D5*E5</f>
        <v>3333.2000000000003</v>
      </c>
      <c r="G5" s="154"/>
      <c r="H5" s="154"/>
    </row>
    <row r="6" spans="1:8" ht="15" customHeight="1" x14ac:dyDescent="0.3">
      <c r="A6" s="77"/>
      <c r="B6" s="533" t="str">
        <f>'Master Lookup'!B18</f>
        <v>Clinician (MA Level)</v>
      </c>
      <c r="C6" s="608"/>
      <c r="D6" s="605">
        <f>'Master Lookup'!C18</f>
        <v>52665.599999999999</v>
      </c>
      <c r="E6" s="609">
        <v>0.1</v>
      </c>
      <c r="F6" s="92">
        <f>D6*E6</f>
        <v>5266.56</v>
      </c>
      <c r="G6" s="154"/>
      <c r="H6" s="154"/>
    </row>
    <row r="7" spans="1:8" ht="15" customHeight="1" x14ac:dyDescent="0.3">
      <c r="A7" s="77"/>
      <c r="B7" s="533" t="str">
        <f>'Master Lookup'!B20</f>
        <v>Direct Care III</v>
      </c>
      <c r="C7" s="608"/>
      <c r="D7" s="605">
        <f>'Master Lookup'!C20</f>
        <v>41516.800000000003</v>
      </c>
      <c r="E7" s="609">
        <v>1</v>
      </c>
      <c r="F7" s="92">
        <f>D7*E7</f>
        <v>41516.800000000003</v>
      </c>
      <c r="G7" s="154"/>
      <c r="H7" s="154"/>
    </row>
    <row r="8" spans="1:8" ht="15" customHeight="1" x14ac:dyDescent="0.3">
      <c r="A8" s="77"/>
      <c r="B8" s="607" t="str">
        <f>'Master Lookup'!B22</f>
        <v>Support Staffing</v>
      </c>
      <c r="C8" s="608"/>
      <c r="D8" s="605">
        <f>'Master Lookup'!C22</f>
        <v>32198.400000000001</v>
      </c>
      <c r="E8" s="610">
        <v>0.3</v>
      </c>
      <c r="F8" s="92">
        <f>D8*E8</f>
        <v>9659.52</v>
      </c>
      <c r="G8" s="154"/>
      <c r="H8" s="154"/>
    </row>
    <row r="9" spans="1:8" ht="13.05" x14ac:dyDescent="0.3">
      <c r="A9" s="77"/>
      <c r="B9" s="611" t="s">
        <v>36</v>
      </c>
      <c r="C9" s="612"/>
      <c r="D9" s="612"/>
      <c r="E9" s="613">
        <f>SUM(E5:E8)</f>
        <v>1.45</v>
      </c>
      <c r="F9" s="99">
        <f>SUM(F5:F8)</f>
        <v>59776.08</v>
      </c>
      <c r="G9" s="154"/>
      <c r="H9" s="154"/>
    </row>
    <row r="10" spans="1:8" ht="12.45" x14ac:dyDescent="0.25">
      <c r="A10" s="77"/>
      <c r="B10" s="614"/>
      <c r="C10" s="608"/>
      <c r="D10" s="608"/>
      <c r="E10" s="608"/>
      <c r="F10" s="101"/>
      <c r="G10" s="154"/>
      <c r="H10" s="154"/>
    </row>
    <row r="11" spans="1:8" ht="13.05" x14ac:dyDescent="0.3">
      <c r="A11" s="77"/>
      <c r="B11" s="615" t="s">
        <v>37</v>
      </c>
      <c r="C11" s="608"/>
      <c r="D11" s="608"/>
      <c r="E11" s="616" t="s">
        <v>38</v>
      </c>
      <c r="F11" s="101"/>
      <c r="G11" s="154"/>
      <c r="H11" s="154"/>
    </row>
    <row r="12" spans="1:8" ht="12.45" x14ac:dyDescent="0.25">
      <c r="A12" s="77"/>
      <c r="B12" s="614" t="s">
        <v>14</v>
      </c>
      <c r="C12" s="608"/>
      <c r="D12" s="617">
        <f>'Master Lookup'!C30</f>
        <v>0.224</v>
      </c>
      <c r="E12" s="608"/>
      <c r="F12" s="92">
        <f>F9*D12</f>
        <v>13389.841920000001</v>
      </c>
      <c r="G12" s="154"/>
      <c r="H12" s="154"/>
    </row>
    <row r="13" spans="1:8" ht="13.05" x14ac:dyDescent="0.3">
      <c r="A13" s="77"/>
      <c r="B13" s="611" t="s">
        <v>39</v>
      </c>
      <c r="C13" s="612"/>
      <c r="D13" s="612"/>
      <c r="E13" s="618"/>
      <c r="F13" s="99">
        <f>F12+F9</f>
        <v>73165.921920000008</v>
      </c>
      <c r="G13" s="154"/>
      <c r="H13" s="154"/>
    </row>
    <row r="14" spans="1:8" ht="12.45" x14ac:dyDescent="0.25">
      <c r="A14" s="77"/>
      <c r="B14" s="614"/>
      <c r="C14" s="608"/>
      <c r="D14" s="608" t="s">
        <v>40</v>
      </c>
      <c r="E14" s="608"/>
      <c r="F14" s="101"/>
      <c r="G14" s="154"/>
      <c r="H14" s="154"/>
    </row>
    <row r="15" spans="1:8" ht="12.45" x14ac:dyDescent="0.25">
      <c r="A15" s="77"/>
      <c r="B15" s="614" t="s">
        <v>15</v>
      </c>
      <c r="C15" s="608"/>
      <c r="D15" s="619">
        <f>'Master Lookup'!C25</f>
        <v>6983.3104000000003</v>
      </c>
      <c r="E15" s="620"/>
      <c r="F15" s="107">
        <f>D15*E9</f>
        <v>10125.800080000001</v>
      </c>
      <c r="G15" s="154"/>
      <c r="H15" s="154"/>
    </row>
    <row r="16" spans="1:8" ht="12.45" x14ac:dyDescent="0.25">
      <c r="A16" s="77"/>
      <c r="B16" s="614" t="str">
        <f>'Master Lookup'!B29</f>
        <v>PFMLA</v>
      </c>
      <c r="C16" s="608"/>
      <c r="D16" s="621">
        <f>'Master Lookup'!C29</f>
        <v>3.7000000000000002E-3</v>
      </c>
      <c r="E16" s="620"/>
      <c r="F16" s="107">
        <f>F9*D16</f>
        <v>221.17149600000002</v>
      </c>
      <c r="G16" s="154"/>
      <c r="H16" s="154"/>
    </row>
    <row r="17" spans="1:8" ht="13.05" thickBot="1" x14ac:dyDescent="0.3">
      <c r="A17" s="77"/>
      <c r="B17" s="628" t="s">
        <v>16</v>
      </c>
      <c r="C17" s="631"/>
      <c r="D17" s="637">
        <f>'Master Lookup'!C26</f>
        <v>1250.2064</v>
      </c>
      <c r="E17" s="638"/>
      <c r="F17" s="112">
        <f>D17*E9</f>
        <v>1812.79928</v>
      </c>
      <c r="G17" s="154"/>
      <c r="H17" s="154"/>
    </row>
    <row r="18" spans="1:8" ht="13.5" thickTop="1" x14ac:dyDescent="0.3">
      <c r="A18" s="77"/>
      <c r="B18" s="626" t="s">
        <v>41</v>
      </c>
      <c r="C18" s="627"/>
      <c r="D18" s="627"/>
      <c r="E18" s="627"/>
      <c r="F18" s="113">
        <f>SUM(F13:F17)</f>
        <v>85325.692776000011</v>
      </c>
      <c r="G18" s="88"/>
      <c r="H18" s="88"/>
    </row>
    <row r="19" spans="1:8" ht="13.05" thickBot="1" x14ac:dyDescent="0.3">
      <c r="A19" s="77"/>
      <c r="B19" s="628" t="s">
        <v>42</v>
      </c>
      <c r="C19" s="629"/>
      <c r="D19" s="630">
        <f>'Master Lookup'!C31</f>
        <v>0.12</v>
      </c>
      <c r="E19" s="631"/>
      <c r="F19" s="116">
        <f>F18*D19</f>
        <v>10239.083133120001</v>
      </c>
      <c r="G19" s="88"/>
      <c r="H19" s="88"/>
    </row>
    <row r="20" spans="1:8" ht="13.5" thickTop="1" x14ac:dyDescent="0.3">
      <c r="A20" s="77"/>
      <c r="B20" s="626" t="s">
        <v>43</v>
      </c>
      <c r="C20" s="632"/>
      <c r="D20" s="632"/>
      <c r="E20" s="632"/>
      <c r="F20" s="113">
        <f>F18+F19</f>
        <v>95564.775909120013</v>
      </c>
      <c r="G20" s="118"/>
      <c r="H20" s="118"/>
    </row>
    <row r="21" spans="1:8" ht="13.5" thickBot="1" x14ac:dyDescent="0.35">
      <c r="A21" s="77"/>
      <c r="B21" s="598" t="s">
        <v>296</v>
      </c>
      <c r="C21" s="608"/>
      <c r="D21" s="617">
        <f>'Master Lookup'!C35</f>
        <v>2.3997532813331963E-2</v>
      </c>
      <c r="E21" s="639"/>
      <c r="F21" s="113">
        <f>F20+(F20*D21)-(F9*D21)</f>
        <v>96423.616313545484</v>
      </c>
      <c r="G21" s="124"/>
      <c r="H21" s="124"/>
    </row>
    <row r="22" spans="1:8" ht="15.75" customHeight="1" thickBot="1" x14ac:dyDescent="0.35">
      <c r="A22" s="77"/>
      <c r="B22" s="614" t="s">
        <v>64</v>
      </c>
      <c r="C22" s="608"/>
      <c r="D22" s="617"/>
      <c r="E22" s="639"/>
      <c r="F22" s="417">
        <f>F21/F3</f>
        <v>68.095774232729866</v>
      </c>
      <c r="G22" s="124"/>
      <c r="H22" s="124"/>
    </row>
    <row r="23" spans="1:8" ht="15.75" customHeight="1" thickBot="1" x14ac:dyDescent="0.35">
      <c r="A23" s="77"/>
      <c r="B23" s="155" t="s">
        <v>93</v>
      </c>
      <c r="C23" s="156"/>
      <c r="D23" s="157"/>
      <c r="E23" s="156"/>
      <c r="F23" s="295">
        <f>F22*1.25+0.01</f>
        <v>85.129717790912338</v>
      </c>
      <c r="G23" s="158"/>
      <c r="H23" s="124"/>
    </row>
    <row r="24" spans="1:8" ht="13.5" thickBot="1" x14ac:dyDescent="0.35">
      <c r="A24" s="77"/>
      <c r="B24" s="151" t="s">
        <v>94</v>
      </c>
      <c r="C24" s="152"/>
      <c r="D24" s="152"/>
      <c r="E24" s="152"/>
      <c r="F24" s="295">
        <f>F23/5</f>
        <v>17.025943558182469</v>
      </c>
      <c r="G24" s="131"/>
      <c r="H24" s="159"/>
    </row>
    <row r="25" spans="1:8" ht="13.5" thickBot="1" x14ac:dyDescent="0.35">
      <c r="A25" s="77"/>
      <c r="B25" s="151" t="s">
        <v>95</v>
      </c>
      <c r="C25" s="160"/>
      <c r="D25" s="161"/>
      <c r="E25" s="162"/>
      <c r="F25" s="163">
        <f>F24*0.25</f>
        <v>4.2564858895456172</v>
      </c>
      <c r="G25" s="442"/>
      <c r="H25" s="132"/>
    </row>
    <row r="26" spans="1:8" ht="13.05" x14ac:dyDescent="0.3">
      <c r="A26" s="77"/>
      <c r="E26" s="67"/>
      <c r="F26" s="68"/>
      <c r="G26" s="132"/>
      <c r="H26" s="132"/>
    </row>
    <row r="27" spans="1:8" ht="13.05" x14ac:dyDescent="0.3">
      <c r="E27" s="69"/>
      <c r="F27" s="70"/>
    </row>
    <row r="29" spans="1:8" ht="13.05" x14ac:dyDescent="0.3">
      <c r="E29" s="67"/>
      <c r="F29" s="68"/>
    </row>
    <row r="30" spans="1:8" ht="13.05" x14ac:dyDescent="0.3">
      <c r="E30" s="69"/>
      <c r="F30" s="70"/>
    </row>
    <row r="32" spans="1:8" ht="13.05" x14ac:dyDescent="0.3">
      <c r="E32" s="67"/>
      <c r="F32" s="68"/>
    </row>
    <row r="33" spans="1:8" ht="13.05" x14ac:dyDescent="0.3">
      <c r="E33" s="69"/>
      <c r="F33" s="70"/>
    </row>
    <row r="35" spans="1:8" x14ac:dyDescent="0.25">
      <c r="A35" s="77"/>
      <c r="B35" s="78"/>
      <c r="C35" s="78"/>
      <c r="D35" s="78"/>
      <c r="E35" s="78"/>
      <c r="F35" s="78"/>
      <c r="G35" s="132"/>
      <c r="H35" s="132"/>
    </row>
    <row r="36" spans="1:8" x14ac:dyDescent="0.25">
      <c r="A36" s="77"/>
      <c r="B36" s="78"/>
      <c r="C36" s="78"/>
      <c r="D36" s="78"/>
      <c r="E36" s="78"/>
      <c r="F36" s="78"/>
      <c r="G36" s="132"/>
      <c r="H36" s="132"/>
    </row>
    <row r="37" spans="1:8" x14ac:dyDescent="0.25">
      <c r="A37" s="77"/>
      <c r="B37" s="77"/>
      <c r="C37" s="77"/>
      <c r="D37" s="77"/>
      <c r="E37" s="77"/>
      <c r="F37" s="77"/>
      <c r="G37" s="132"/>
      <c r="H37" s="132"/>
    </row>
    <row r="38" spans="1:8" x14ac:dyDescent="0.25">
      <c r="A38" s="77"/>
      <c r="B38" s="77"/>
      <c r="C38" s="77"/>
      <c r="D38" s="77"/>
      <c r="E38" s="77"/>
      <c r="F38" s="77"/>
      <c r="G38" s="132"/>
      <c r="H38" s="132"/>
    </row>
    <row r="39" spans="1:8" x14ac:dyDescent="0.25">
      <c r="A39" s="77"/>
      <c r="B39" s="77"/>
      <c r="C39" s="77"/>
      <c r="D39" s="77"/>
      <c r="E39" s="77"/>
      <c r="F39" s="77"/>
      <c r="G39" s="132"/>
      <c r="H39" s="132"/>
    </row>
    <row r="40" spans="1:8" x14ac:dyDescent="0.25">
      <c r="A40" s="77"/>
      <c r="B40" s="77"/>
      <c r="C40" s="77"/>
      <c r="D40" s="77"/>
      <c r="E40" s="77"/>
      <c r="F40" s="77"/>
      <c r="G40" s="135"/>
      <c r="H40" s="135"/>
    </row>
    <row r="41" spans="1:8" x14ac:dyDescent="0.25">
      <c r="A41" s="77"/>
      <c r="B41" s="77"/>
      <c r="C41" s="77"/>
      <c r="D41" s="77"/>
      <c r="E41" s="77"/>
      <c r="F41" s="77"/>
      <c r="G41" s="88"/>
      <c r="H41" s="88"/>
    </row>
    <row r="42" spans="1:8" x14ac:dyDescent="0.25">
      <c r="A42" s="71"/>
      <c r="B42" s="77"/>
      <c r="C42" s="77"/>
      <c r="D42" s="77"/>
      <c r="E42" s="77"/>
      <c r="F42" s="77"/>
      <c r="G42" s="136"/>
      <c r="H42" s="136"/>
    </row>
    <row r="43" spans="1:8" x14ac:dyDescent="0.25">
      <c r="A43" s="71"/>
      <c r="B43" s="77"/>
      <c r="C43" s="77"/>
      <c r="D43" s="77"/>
      <c r="E43" s="77"/>
      <c r="F43" s="77"/>
      <c r="G43" s="88"/>
      <c r="H43" s="88"/>
    </row>
    <row r="44" spans="1:8" x14ac:dyDescent="0.25">
      <c r="A44" s="71"/>
      <c r="B44" s="77"/>
      <c r="C44" s="77"/>
      <c r="D44" s="77"/>
      <c r="E44" s="77"/>
      <c r="F44" s="77"/>
      <c r="G44" s="118"/>
      <c r="H44" s="118"/>
    </row>
    <row r="45" spans="1:8" x14ac:dyDescent="0.25">
      <c r="A45" s="71"/>
      <c r="B45" s="77"/>
      <c r="C45" s="77"/>
      <c r="D45" s="77"/>
      <c r="E45" s="77"/>
      <c r="F45" s="77"/>
      <c r="G45" s="118"/>
      <c r="H45" s="118"/>
    </row>
    <row r="46" spans="1:8" x14ac:dyDescent="0.25">
      <c r="A46" s="71"/>
      <c r="B46" s="78"/>
      <c r="C46" s="78"/>
      <c r="D46" s="78"/>
      <c r="E46" s="78"/>
      <c r="F46" s="78"/>
      <c r="G46" s="137"/>
      <c r="H46" s="137"/>
    </row>
    <row r="47" spans="1:8" x14ac:dyDescent="0.25">
      <c r="A47" s="71"/>
      <c r="B47" s="7"/>
      <c r="C47" s="138"/>
      <c r="D47" s="138"/>
      <c r="E47" s="139"/>
      <c r="F47" s="7"/>
      <c r="G47" s="140"/>
      <c r="H47" s="141"/>
    </row>
    <row r="48" spans="1:8" x14ac:dyDescent="0.25">
      <c r="A48" s="77"/>
      <c r="B48" s="7"/>
      <c r="C48" s="138"/>
      <c r="D48" s="138"/>
      <c r="E48" s="139"/>
      <c r="F48" s="140"/>
      <c r="G48" s="140"/>
      <c r="H48" s="141"/>
    </row>
    <row r="49" spans="1:8" x14ac:dyDescent="0.25">
      <c r="A49" s="77"/>
      <c r="B49" s="7"/>
      <c r="C49" s="138"/>
      <c r="D49" s="138"/>
      <c r="E49" s="139"/>
      <c r="F49" s="140"/>
      <c r="G49" s="140"/>
      <c r="H49" s="141"/>
    </row>
    <row r="50" spans="1:8" x14ac:dyDescent="0.25">
      <c r="A50" s="77"/>
      <c r="B50" s="7"/>
      <c r="C50" s="138"/>
      <c r="D50" s="138"/>
      <c r="E50" s="139"/>
      <c r="F50" s="140"/>
      <c r="G50" s="140"/>
      <c r="H50" s="141"/>
    </row>
    <row r="51" spans="1:8" x14ac:dyDescent="0.25">
      <c r="A51" s="77"/>
      <c r="B51" s="7"/>
      <c r="C51" s="138"/>
      <c r="D51" s="138"/>
      <c r="E51" s="139"/>
      <c r="F51" s="140"/>
      <c r="G51" s="140"/>
      <c r="H51" s="141"/>
    </row>
  </sheetData>
  <mergeCells count="1">
    <mergeCell ref="B2:F2"/>
  </mergeCells>
  <pageMargins left="1" right="0.25" top="0.25" bottom="0.25" header="0.3" footer="0.3"/>
  <pageSetup fitToHeight="0" orientation="landscape" cellComments="asDisplayed" r:id="rId1"/>
  <headerFooter>
    <oddFooter>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opLeftCell="A31" zoomScale="80" zoomScaleNormal="80" workbookViewId="0">
      <selection activeCell="I29" sqref="I29"/>
    </sheetView>
  </sheetViews>
  <sheetFormatPr defaultColWidth="9.109375" defaultRowHeight="13.2" x14ac:dyDescent="0.25"/>
  <cols>
    <col min="1" max="1" width="9.109375" style="60"/>
    <col min="2" max="2" width="30.33203125" style="60" customWidth="1"/>
    <col min="3" max="3" width="5.33203125" style="60" customWidth="1"/>
    <col min="4" max="4" width="18" style="60" customWidth="1"/>
    <col min="5" max="5" width="15.6640625" style="60" customWidth="1"/>
    <col min="6" max="6" width="20.109375" style="60" customWidth="1"/>
    <col min="7" max="7" width="1.88671875" style="60" customWidth="1"/>
    <col min="8" max="8" width="2.5546875" style="60" customWidth="1"/>
    <col min="9" max="9" width="3" style="60" customWidth="1"/>
    <col min="10" max="10" width="34.33203125" style="60" customWidth="1"/>
    <col min="11" max="11" width="3" style="60" customWidth="1"/>
    <col min="12" max="12" width="15" style="60" customWidth="1"/>
    <col min="13" max="13" width="10.6640625" style="60" customWidth="1"/>
    <col min="14" max="14" width="21.5546875" style="60" customWidth="1"/>
    <col min="15" max="16384" width="9.109375" style="60"/>
  </cols>
  <sheetData>
    <row r="1" spans="1:14" ht="13.05" thickBot="1" x14ac:dyDescent="0.3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13.5" thickBot="1" x14ac:dyDescent="0.35">
      <c r="A2" s="77"/>
      <c r="B2" s="725" t="s">
        <v>96</v>
      </c>
      <c r="C2" s="726"/>
      <c r="D2" s="726"/>
      <c r="E2" s="726"/>
      <c r="F2" s="727"/>
      <c r="G2" s="79"/>
      <c r="H2" s="79"/>
      <c r="I2" s="79"/>
      <c r="J2" s="725" t="s">
        <v>101</v>
      </c>
      <c r="K2" s="726"/>
      <c r="L2" s="726"/>
      <c r="M2" s="726"/>
      <c r="N2" s="727"/>
    </row>
    <row r="3" spans="1:14" ht="13.05" x14ac:dyDescent="0.3">
      <c r="A3" s="77"/>
      <c r="B3" s="254" t="s">
        <v>123</v>
      </c>
      <c r="C3" s="81" t="s">
        <v>97</v>
      </c>
      <c r="D3" s="77"/>
      <c r="E3" s="142">
        <v>10</v>
      </c>
      <c r="F3" s="82">
        <v>250</v>
      </c>
      <c r="G3" s="83"/>
      <c r="H3" s="83"/>
      <c r="I3" s="83"/>
      <c r="J3" s="254" t="s">
        <v>84</v>
      </c>
      <c r="K3" s="81" t="s">
        <v>98</v>
      </c>
      <c r="L3" s="77"/>
      <c r="M3" s="143">
        <v>10</v>
      </c>
      <c r="N3" s="82">
        <v>250</v>
      </c>
    </row>
    <row r="4" spans="1:14" ht="13.05" x14ac:dyDescent="0.3">
      <c r="A4" s="77"/>
      <c r="B4" s="84"/>
      <c r="C4" s="85"/>
      <c r="D4" s="86" t="s">
        <v>33</v>
      </c>
      <c r="E4" s="86"/>
      <c r="F4" s="87" t="s">
        <v>35</v>
      </c>
      <c r="G4" s="83"/>
      <c r="H4" s="83"/>
      <c r="I4" s="83"/>
      <c r="J4" s="84"/>
      <c r="K4" s="85"/>
      <c r="L4" s="86" t="s">
        <v>33</v>
      </c>
      <c r="M4" s="86" t="s">
        <v>34</v>
      </c>
      <c r="N4" s="87" t="s">
        <v>35</v>
      </c>
    </row>
    <row r="5" spans="1:14" ht="12.75" customHeight="1" x14ac:dyDescent="0.3">
      <c r="A5" s="77"/>
      <c r="B5" s="533" t="str">
        <f>'Master Lookup'!B13</f>
        <v>Program Management</v>
      </c>
      <c r="C5" s="608"/>
      <c r="D5" s="488">
        <f>'Master Lookup'!C13</f>
        <v>66664</v>
      </c>
      <c r="E5" s="610">
        <v>0.1</v>
      </c>
      <c r="F5" s="92">
        <f>D5*E5</f>
        <v>6666.4000000000005</v>
      </c>
      <c r="G5" s="79"/>
      <c r="H5" s="79"/>
      <c r="I5" s="88"/>
      <c r="J5" s="606" t="str">
        <f>B5</f>
        <v>Program Management</v>
      </c>
      <c r="K5" s="608"/>
      <c r="L5" s="488">
        <f>D5</f>
        <v>66664</v>
      </c>
      <c r="M5" s="610">
        <f>E5</f>
        <v>0.1</v>
      </c>
      <c r="N5" s="92">
        <f>L5*M5</f>
        <v>6666.4000000000005</v>
      </c>
    </row>
    <row r="6" spans="1:14" ht="13.05" x14ac:dyDescent="0.3">
      <c r="A6" s="77"/>
      <c r="B6" s="533" t="str">
        <f>'Master Lookup'!B17</f>
        <v>Clinical  (LICSW)</v>
      </c>
      <c r="C6" s="608"/>
      <c r="D6" s="605">
        <f>'Master Lookup'!C17</f>
        <v>60923.199999999997</v>
      </c>
      <c r="E6" s="609">
        <v>0.83</v>
      </c>
      <c r="F6" s="92">
        <f>D6*E6</f>
        <v>50566.255999999994</v>
      </c>
      <c r="G6" s="118"/>
      <c r="H6" s="118"/>
      <c r="I6" s="79"/>
      <c r="J6" s="606" t="str">
        <f>B6</f>
        <v>Clinical  (LICSW)</v>
      </c>
      <c r="K6" s="608"/>
      <c r="L6" s="605">
        <f>D6</f>
        <v>60923.199999999997</v>
      </c>
      <c r="M6" s="610">
        <f t="shared" ref="M6:M9" si="0">E6</f>
        <v>0.83</v>
      </c>
      <c r="N6" s="144">
        <f>L6*M6</f>
        <v>50566.255999999994</v>
      </c>
    </row>
    <row r="7" spans="1:14" ht="13.05" x14ac:dyDescent="0.3">
      <c r="A7" s="77"/>
      <c r="B7" s="533" t="str">
        <f>'Master Lookup'!B20</f>
        <v>Direct Care III</v>
      </c>
      <c r="C7" s="608"/>
      <c r="D7" s="605">
        <f>'Master Lookup'!C20</f>
        <v>41516.800000000003</v>
      </c>
      <c r="E7" s="609">
        <v>0.5</v>
      </c>
      <c r="F7" s="92">
        <f>D7*E7</f>
        <v>20758.400000000001</v>
      </c>
      <c r="G7" s="118"/>
      <c r="H7" s="118"/>
      <c r="I7" s="118"/>
      <c r="J7" s="606" t="str">
        <f>B7</f>
        <v>Direct Care III</v>
      </c>
      <c r="K7" s="608"/>
      <c r="L7" s="605">
        <f>D7</f>
        <v>41516.800000000003</v>
      </c>
      <c r="M7" s="610">
        <f t="shared" si="0"/>
        <v>0.5</v>
      </c>
      <c r="N7" s="92">
        <f>L7*M7</f>
        <v>20758.400000000001</v>
      </c>
    </row>
    <row r="8" spans="1:14" ht="13.05" x14ac:dyDescent="0.3">
      <c r="A8" s="77"/>
      <c r="B8" s="533" t="str">
        <f>'Master Lookup'!B18</f>
        <v>Clinician (MA Level)</v>
      </c>
      <c r="C8" s="608"/>
      <c r="D8" s="605">
        <f>'Master Lookup'!C18</f>
        <v>52665.599999999999</v>
      </c>
      <c r="E8" s="609">
        <v>1</v>
      </c>
      <c r="F8" s="92">
        <f>D8*E8</f>
        <v>52665.599999999999</v>
      </c>
      <c r="G8" s="118"/>
      <c r="H8" s="118"/>
      <c r="I8" s="118"/>
      <c r="J8" s="606" t="str">
        <f>B8</f>
        <v>Clinician (MA Level)</v>
      </c>
      <c r="K8" s="608"/>
      <c r="L8" s="605">
        <f>D8</f>
        <v>52665.599999999999</v>
      </c>
      <c r="M8" s="610">
        <f t="shared" si="0"/>
        <v>1</v>
      </c>
      <c r="N8" s="92">
        <f>M8*L8</f>
        <v>52665.599999999999</v>
      </c>
    </row>
    <row r="9" spans="1:14" ht="13.05" x14ac:dyDescent="0.3">
      <c r="A9" s="77"/>
      <c r="B9" s="607" t="str">
        <f>'Master Lookup'!B22</f>
        <v>Support Staffing</v>
      </c>
      <c r="C9" s="608"/>
      <c r="D9" s="605">
        <f>'Master Lookup'!C22</f>
        <v>32198.400000000001</v>
      </c>
      <c r="E9" s="610">
        <v>0.25</v>
      </c>
      <c r="F9" s="92">
        <f>D9*E9</f>
        <v>8049.6</v>
      </c>
      <c r="G9" s="118"/>
      <c r="H9" s="118"/>
      <c r="I9" s="118"/>
      <c r="J9" s="606" t="str">
        <f>B9</f>
        <v>Support Staffing</v>
      </c>
      <c r="K9" s="608"/>
      <c r="L9" s="605">
        <f>D9</f>
        <v>32198.400000000001</v>
      </c>
      <c r="M9" s="610">
        <f t="shared" si="0"/>
        <v>0.25</v>
      </c>
      <c r="N9" s="92">
        <f>L9*M9</f>
        <v>8049.6</v>
      </c>
    </row>
    <row r="10" spans="1:14" ht="13.05" x14ac:dyDescent="0.3">
      <c r="A10" s="77"/>
      <c r="B10" s="611" t="s">
        <v>36</v>
      </c>
      <c r="C10" s="612"/>
      <c r="D10" s="612"/>
      <c r="E10" s="613">
        <f>SUM(E5:E9)</f>
        <v>2.6799999999999997</v>
      </c>
      <c r="F10" s="99">
        <f>SUM(F5:F9)</f>
        <v>138706.25599999999</v>
      </c>
      <c r="G10" s="118"/>
      <c r="H10" s="118"/>
      <c r="I10" s="118"/>
      <c r="J10" s="611" t="s">
        <v>36</v>
      </c>
      <c r="K10" s="612"/>
      <c r="L10" s="612"/>
      <c r="M10" s="613">
        <f>SUM(M5:M9)</f>
        <v>2.6799999999999997</v>
      </c>
      <c r="N10" s="99">
        <f>SUM(N5:N9)</f>
        <v>138706.25599999999</v>
      </c>
    </row>
    <row r="11" spans="1:14" ht="12.45" x14ac:dyDescent="0.25">
      <c r="A11" s="77"/>
      <c r="B11" s="614"/>
      <c r="C11" s="608"/>
      <c r="D11" s="608"/>
      <c r="E11" s="608"/>
      <c r="F11" s="101"/>
      <c r="G11" s="118"/>
      <c r="H11" s="118"/>
      <c r="I11" s="78"/>
      <c r="J11" s="614"/>
      <c r="K11" s="608"/>
      <c r="L11" s="608"/>
      <c r="M11" s="608"/>
      <c r="N11" s="101"/>
    </row>
    <row r="12" spans="1:14" ht="13.05" x14ac:dyDescent="0.3">
      <c r="A12" s="77"/>
      <c r="B12" s="615" t="s">
        <v>37</v>
      </c>
      <c r="C12" s="608"/>
      <c r="D12" s="608"/>
      <c r="E12" s="616" t="s">
        <v>38</v>
      </c>
      <c r="F12" s="101"/>
      <c r="G12" s="118"/>
      <c r="H12" s="118"/>
      <c r="I12" s="78"/>
      <c r="J12" s="615" t="s">
        <v>37</v>
      </c>
      <c r="K12" s="608"/>
      <c r="L12" s="608"/>
      <c r="M12" s="616" t="s">
        <v>38</v>
      </c>
      <c r="N12" s="101"/>
    </row>
    <row r="13" spans="1:14" ht="12.45" x14ac:dyDescent="0.25">
      <c r="A13" s="77"/>
      <c r="B13" s="614" t="s">
        <v>14</v>
      </c>
      <c r="C13" s="608"/>
      <c r="D13" s="617">
        <f>'Master Lookup'!C30</f>
        <v>0.224</v>
      </c>
      <c r="E13" s="608"/>
      <c r="F13" s="92">
        <f>F10*D13</f>
        <v>31070.201344000001</v>
      </c>
      <c r="G13" s="118"/>
      <c r="H13" s="118"/>
      <c r="I13" s="118"/>
      <c r="J13" s="614" t="s">
        <v>14</v>
      </c>
      <c r="K13" s="608"/>
      <c r="L13" s="617">
        <f>D13</f>
        <v>0.224</v>
      </c>
      <c r="M13" s="608"/>
      <c r="N13" s="92">
        <f>N10*L13</f>
        <v>31070.201344000001</v>
      </c>
    </row>
    <row r="14" spans="1:14" ht="13.05" x14ac:dyDescent="0.3">
      <c r="A14" s="77"/>
      <c r="B14" s="611" t="s">
        <v>39</v>
      </c>
      <c r="C14" s="612"/>
      <c r="D14" s="612"/>
      <c r="E14" s="618"/>
      <c r="F14" s="99">
        <f>F13+F10</f>
        <v>169776.45734399999</v>
      </c>
      <c r="G14" s="118"/>
      <c r="H14" s="118"/>
      <c r="I14" s="118"/>
      <c r="J14" s="611" t="s">
        <v>39</v>
      </c>
      <c r="K14" s="612"/>
      <c r="L14" s="612"/>
      <c r="M14" s="618"/>
      <c r="N14" s="99">
        <f>N13+N10</f>
        <v>169776.45734399999</v>
      </c>
    </row>
    <row r="15" spans="1:14" ht="12.45" x14ac:dyDescent="0.25">
      <c r="A15" s="77"/>
      <c r="B15" s="614"/>
      <c r="C15" s="608"/>
      <c r="D15" s="608" t="s">
        <v>40</v>
      </c>
      <c r="E15" s="608"/>
      <c r="F15" s="101"/>
      <c r="G15" s="118"/>
      <c r="H15" s="118"/>
      <c r="I15" s="118"/>
      <c r="J15" s="614"/>
      <c r="K15" s="608"/>
      <c r="L15" s="608" t="s">
        <v>40</v>
      </c>
      <c r="M15" s="608"/>
      <c r="N15" s="101"/>
    </row>
    <row r="16" spans="1:14" ht="25.05" x14ac:dyDescent="0.25">
      <c r="A16" s="77"/>
      <c r="B16" s="640" t="s">
        <v>100</v>
      </c>
      <c r="C16" s="632"/>
      <c r="D16" s="619">
        <f>'Master Lookup'!C28</f>
        <v>5541.3168000000005</v>
      </c>
      <c r="E16" s="632"/>
      <c r="F16" s="145">
        <f>D16</f>
        <v>5541.3168000000005</v>
      </c>
      <c r="G16" s="118"/>
      <c r="H16" s="118"/>
      <c r="I16" s="118"/>
      <c r="J16" s="644" t="str">
        <f>B16</f>
        <v>Travel (broken out of other prog exp)</v>
      </c>
      <c r="K16" s="632"/>
      <c r="L16" s="619">
        <f>'Master Lookup'!C28</f>
        <v>5541.3168000000005</v>
      </c>
      <c r="M16" s="632"/>
      <c r="N16" s="146">
        <f>L16</f>
        <v>5541.3168000000005</v>
      </c>
    </row>
    <row r="17" spans="1:14" ht="12.45" x14ac:dyDescent="0.25">
      <c r="A17" s="77"/>
      <c r="B17" s="614" t="s">
        <v>15</v>
      </c>
      <c r="C17" s="608"/>
      <c r="D17" s="619">
        <f>'Master Lookup'!C25</f>
        <v>6983.3104000000003</v>
      </c>
      <c r="E17" s="620"/>
      <c r="F17" s="144">
        <f>D17*E10</f>
        <v>18715.271871999998</v>
      </c>
      <c r="G17" s="118"/>
      <c r="H17" s="118"/>
      <c r="I17" s="118"/>
      <c r="J17" s="614" t="s">
        <v>15</v>
      </c>
      <c r="K17" s="608"/>
      <c r="L17" s="619">
        <f>D17</f>
        <v>6983.3104000000003</v>
      </c>
      <c r="M17" s="620"/>
      <c r="N17" s="107">
        <f>L17*M10</f>
        <v>18715.271871999998</v>
      </c>
    </row>
    <row r="18" spans="1:14" ht="13.05" x14ac:dyDescent="0.3">
      <c r="A18" s="77"/>
      <c r="B18" s="614" t="str">
        <f>'Master Lookup'!B29</f>
        <v>PFMLA</v>
      </c>
      <c r="C18" s="608"/>
      <c r="D18" s="621">
        <f>'Master Lookup'!C29</f>
        <v>3.7000000000000002E-3</v>
      </c>
      <c r="E18" s="620"/>
      <c r="F18" s="144">
        <f>D18*F10</f>
        <v>513.21314719999998</v>
      </c>
      <c r="G18" s="118"/>
      <c r="H18" s="118"/>
      <c r="I18" s="136"/>
      <c r="J18" s="614" t="str">
        <f>'Master Lookup'!B29</f>
        <v>PFMLA</v>
      </c>
      <c r="K18" s="608"/>
      <c r="L18" s="621">
        <f>'Master Lookup'!C29</f>
        <v>3.7000000000000002E-3</v>
      </c>
      <c r="M18" s="620"/>
      <c r="N18" s="107">
        <f>L18*N10</f>
        <v>513.21314719999998</v>
      </c>
    </row>
    <row r="19" spans="1:14" ht="13.05" thickBot="1" x14ac:dyDescent="0.3">
      <c r="A19" s="77"/>
      <c r="B19" s="628" t="s">
        <v>16</v>
      </c>
      <c r="C19" s="631"/>
      <c r="D19" s="637">
        <f>'Master Lookup'!C26</f>
        <v>1250.2064</v>
      </c>
      <c r="E19" s="638"/>
      <c r="F19" s="147">
        <f>D19*E10</f>
        <v>3350.5531519999995</v>
      </c>
      <c r="G19" s="118"/>
      <c r="H19" s="118"/>
      <c r="I19" s="88"/>
      <c r="J19" s="628" t="s">
        <v>16</v>
      </c>
      <c r="K19" s="631"/>
      <c r="L19" s="637">
        <f>D19</f>
        <v>1250.2064</v>
      </c>
      <c r="M19" s="638"/>
      <c r="N19" s="112">
        <f>L19*M10</f>
        <v>3350.5531519999995</v>
      </c>
    </row>
    <row r="20" spans="1:14" ht="13.5" thickTop="1" x14ac:dyDescent="0.3">
      <c r="A20" s="77"/>
      <c r="B20" s="626" t="s">
        <v>41</v>
      </c>
      <c r="C20" s="627"/>
      <c r="D20" s="627"/>
      <c r="E20" s="627"/>
      <c r="F20" s="113">
        <f>SUM(F14:F19)</f>
        <v>197896.81231519999</v>
      </c>
      <c r="G20" s="136"/>
      <c r="H20" s="136"/>
      <c r="I20" s="88"/>
      <c r="J20" s="626" t="s">
        <v>41</v>
      </c>
      <c r="K20" s="627"/>
      <c r="L20" s="627"/>
      <c r="M20" s="627"/>
      <c r="N20" s="113">
        <f>SUM(N14:N19)</f>
        <v>197896.81231519999</v>
      </c>
    </row>
    <row r="21" spans="1:14" ht="13.05" thickBot="1" x14ac:dyDescent="0.3">
      <c r="A21" s="77"/>
      <c r="B21" s="628" t="s">
        <v>42</v>
      </c>
      <c r="C21" s="629"/>
      <c r="D21" s="630">
        <f>'Master Lookup'!C31</f>
        <v>0.12</v>
      </c>
      <c r="E21" s="631"/>
      <c r="F21" s="116">
        <f>F20*D21</f>
        <v>23747.617477823998</v>
      </c>
      <c r="G21" s="118"/>
      <c r="H21" s="118"/>
      <c r="I21" s="118"/>
      <c r="J21" s="628" t="s">
        <v>42</v>
      </c>
      <c r="K21" s="629"/>
      <c r="L21" s="630">
        <f>D21</f>
        <v>0.12</v>
      </c>
      <c r="M21" s="631"/>
      <c r="N21" s="116">
        <f>(N20*L21)</f>
        <v>23747.617477823998</v>
      </c>
    </row>
    <row r="22" spans="1:14" ht="13.95" thickTop="1" thickBot="1" x14ac:dyDescent="0.35">
      <c r="A22" s="77"/>
      <c r="B22" s="626" t="s">
        <v>43</v>
      </c>
      <c r="C22" s="632"/>
      <c r="D22" s="632"/>
      <c r="E22" s="632"/>
      <c r="F22" s="113">
        <f>F20+F21</f>
        <v>221644.429793024</v>
      </c>
      <c r="G22" s="118"/>
      <c r="H22" s="118"/>
      <c r="I22" s="118"/>
      <c r="J22" s="626" t="s">
        <v>43</v>
      </c>
      <c r="K22" s="632"/>
      <c r="L22" s="632"/>
      <c r="M22" s="632"/>
      <c r="N22" s="113">
        <f>N20+N21</f>
        <v>221644.429793024</v>
      </c>
    </row>
    <row r="23" spans="1:14" ht="13.5" thickBot="1" x14ac:dyDescent="0.35">
      <c r="A23" s="77"/>
      <c r="B23" s="598" t="s">
        <v>296</v>
      </c>
      <c r="C23" s="641"/>
      <c r="D23" s="621">
        <f>'Master Lookup'!C35</f>
        <v>2.3997532813331963E-2</v>
      </c>
      <c r="E23" s="641"/>
      <c r="F23" s="113">
        <f>F22+(F22*D23)-(F10*D23)</f>
        <v>223634.74134009992</v>
      </c>
      <c r="G23" s="136"/>
      <c r="H23" s="136"/>
      <c r="I23" s="124"/>
      <c r="J23" s="598" t="str">
        <f>B23</f>
        <v>CAF  Period  (1/1/21- 12/31/22)</v>
      </c>
      <c r="K23" s="641"/>
      <c r="L23" s="621">
        <f>D23</f>
        <v>2.3997532813331963E-2</v>
      </c>
      <c r="M23" s="641"/>
      <c r="N23" s="113">
        <f>N22+(L23*N22)-N10*L23</f>
        <v>223634.74134009992</v>
      </c>
    </row>
    <row r="24" spans="1:14" ht="13.5" thickBot="1" x14ac:dyDescent="0.35">
      <c r="A24" s="77"/>
      <c r="B24" s="598" t="s">
        <v>99</v>
      </c>
      <c r="C24" s="642"/>
      <c r="D24" s="643"/>
      <c r="E24" s="642"/>
      <c r="F24" s="692">
        <f>F23/(E3*F3)+0.01</f>
        <v>89.463896536039968</v>
      </c>
      <c r="G24" s="130"/>
      <c r="H24" s="130"/>
      <c r="I24" s="131"/>
      <c r="J24" s="148" t="s">
        <v>45</v>
      </c>
      <c r="K24" s="149"/>
      <c r="L24" s="150"/>
      <c r="M24" s="149"/>
      <c r="N24" s="693">
        <f>N23/(M3*N3)+0.01</f>
        <v>89.463896536039968</v>
      </c>
    </row>
    <row r="25" spans="1:14" ht="13.05" x14ac:dyDescent="0.3">
      <c r="A25" s="77"/>
      <c r="B25" s="77"/>
      <c r="C25" s="77"/>
      <c r="D25" s="129"/>
      <c r="E25" s="418"/>
      <c r="F25" s="153"/>
      <c r="G25" s="130"/>
      <c r="H25" s="130"/>
      <c r="I25" s="131"/>
      <c r="J25" s="77"/>
      <c r="K25" s="77"/>
      <c r="L25" s="129"/>
      <c r="M25" s="418"/>
      <c r="N25" s="153"/>
    </row>
    <row r="26" spans="1:14" ht="13.05" x14ac:dyDescent="0.3">
      <c r="A26" s="77"/>
      <c r="B26" s="78"/>
      <c r="C26" s="78"/>
      <c r="D26" s="78"/>
      <c r="E26" s="67"/>
      <c r="F26" s="419"/>
      <c r="G26" s="78"/>
      <c r="H26" s="78"/>
      <c r="I26" s="132"/>
      <c r="J26" s="132"/>
      <c r="K26" s="132"/>
      <c r="L26" s="132"/>
      <c r="M26" s="67"/>
      <c r="N26" s="419"/>
    </row>
    <row r="27" spans="1:14" ht="13.05" x14ac:dyDescent="0.3">
      <c r="A27" s="77"/>
      <c r="B27" s="77"/>
      <c r="C27" s="133"/>
      <c r="D27" s="134"/>
      <c r="E27" s="69"/>
      <c r="F27" s="70"/>
      <c r="G27" s="137"/>
      <c r="H27" s="137"/>
      <c r="I27" s="132"/>
      <c r="J27" s="132"/>
      <c r="K27" s="132"/>
      <c r="L27" s="132"/>
      <c r="M27" s="69"/>
      <c r="N27" s="70"/>
    </row>
    <row r="28" spans="1:14" ht="12.45" x14ac:dyDescent="0.25">
      <c r="A28" s="77"/>
      <c r="G28" s="77"/>
      <c r="H28" s="77"/>
      <c r="I28" s="132"/>
    </row>
    <row r="29" spans="1:14" ht="12.45" x14ac:dyDescent="0.25">
      <c r="A29" s="77"/>
      <c r="B29" s="77"/>
      <c r="C29" s="77"/>
      <c r="D29" s="77"/>
      <c r="E29" s="77"/>
      <c r="F29" s="77"/>
      <c r="G29" s="77"/>
      <c r="H29" s="77"/>
      <c r="I29" s="132"/>
      <c r="J29" s="132"/>
    </row>
    <row r="30" spans="1:14" ht="12.45" x14ac:dyDescent="0.25">
      <c r="A30" s="77"/>
      <c r="B30" s="77"/>
      <c r="C30" s="77"/>
      <c r="D30" s="77"/>
      <c r="E30" s="77"/>
      <c r="F30" s="77"/>
      <c r="G30" s="77"/>
      <c r="H30" s="77"/>
      <c r="I30" s="135"/>
      <c r="J30" s="135"/>
    </row>
    <row r="31" spans="1:14" ht="12.45" x14ac:dyDescent="0.25">
      <c r="A31" s="77"/>
      <c r="B31" s="77"/>
      <c r="C31" s="77"/>
      <c r="D31" s="77"/>
      <c r="E31" s="77"/>
      <c r="F31" s="77"/>
      <c r="G31" s="77"/>
      <c r="H31" s="77"/>
      <c r="I31" s="88"/>
      <c r="J31" s="88"/>
    </row>
    <row r="32" spans="1:14" ht="13.05" x14ac:dyDescent="0.3">
      <c r="A32" s="77"/>
      <c r="B32" s="77"/>
      <c r="C32" s="77"/>
      <c r="D32" s="77"/>
      <c r="E32" s="77"/>
      <c r="F32" s="77"/>
      <c r="G32" s="77"/>
      <c r="H32" s="77"/>
      <c r="I32" s="136"/>
      <c r="J32" s="136"/>
    </row>
    <row r="33" spans="1:10" ht="12.45" x14ac:dyDescent="0.25">
      <c r="A33" s="77"/>
      <c r="B33" s="77"/>
      <c r="C33" s="77"/>
      <c r="D33" s="77"/>
      <c r="E33" s="77"/>
      <c r="F33" s="77"/>
      <c r="G33" s="77"/>
      <c r="H33" s="77"/>
      <c r="I33" s="88"/>
      <c r="J33" s="88"/>
    </row>
    <row r="34" spans="1:10" ht="13.05" x14ac:dyDescent="0.3">
      <c r="A34" s="71"/>
      <c r="B34" s="77"/>
      <c r="C34" s="77"/>
      <c r="D34" s="77"/>
      <c r="E34" s="77"/>
      <c r="F34" s="77"/>
      <c r="G34" s="77"/>
      <c r="H34" s="77"/>
      <c r="I34" s="118"/>
      <c r="J34" s="118"/>
    </row>
    <row r="35" spans="1:10" ht="13.05" x14ac:dyDescent="0.3">
      <c r="A35" s="71"/>
      <c r="B35" s="77"/>
      <c r="C35" s="77"/>
      <c r="D35" s="77"/>
      <c r="E35" s="77"/>
      <c r="F35" s="77"/>
      <c r="G35" s="77"/>
      <c r="H35" s="77"/>
      <c r="I35" s="118"/>
      <c r="J35" s="118"/>
    </row>
    <row r="36" spans="1:10" ht="13.05" x14ac:dyDescent="0.3">
      <c r="A36" s="71"/>
      <c r="B36" s="78"/>
      <c r="C36" s="78"/>
      <c r="D36" s="78"/>
      <c r="E36" s="78"/>
      <c r="F36" s="78"/>
      <c r="G36" s="78"/>
      <c r="H36" s="78"/>
      <c r="I36" s="137"/>
      <c r="J36" s="137"/>
    </row>
    <row r="37" spans="1:10" ht="13.05" x14ac:dyDescent="0.3">
      <c r="A37" s="71"/>
      <c r="B37" s="7"/>
      <c r="C37" s="138"/>
      <c r="D37" s="138"/>
      <c r="E37" s="139"/>
      <c r="F37" s="7"/>
      <c r="G37" s="7"/>
      <c r="H37" s="7"/>
      <c r="I37" s="140"/>
      <c r="J37" s="140"/>
    </row>
    <row r="38" spans="1:10" ht="13.05" x14ac:dyDescent="0.3">
      <c r="A38" s="71"/>
      <c r="B38" s="7"/>
      <c r="C38" s="138"/>
      <c r="D38" s="138"/>
      <c r="E38" s="139"/>
      <c r="F38" s="140"/>
      <c r="G38" s="140"/>
      <c r="H38" s="140"/>
      <c r="I38" s="140"/>
      <c r="J38" s="140"/>
    </row>
    <row r="39" spans="1:10" ht="13.05" x14ac:dyDescent="0.3">
      <c r="A39" s="71"/>
      <c r="B39" s="7"/>
      <c r="C39" s="138"/>
      <c r="D39" s="138"/>
      <c r="E39" s="139"/>
      <c r="F39" s="140"/>
      <c r="G39" s="140"/>
      <c r="H39" s="140"/>
      <c r="I39" s="140"/>
      <c r="J39" s="140"/>
    </row>
    <row r="40" spans="1:10" x14ac:dyDescent="0.25">
      <c r="A40" s="77"/>
      <c r="B40" s="7"/>
      <c r="C40" s="138"/>
      <c r="D40" s="138"/>
      <c r="E40" s="139"/>
      <c r="F40" s="140"/>
      <c r="G40" s="140"/>
      <c r="H40" s="140"/>
      <c r="I40" s="140"/>
      <c r="J40" s="140"/>
    </row>
  </sheetData>
  <mergeCells count="2">
    <mergeCell ref="B2:F2"/>
    <mergeCell ref="J2:N2"/>
  </mergeCells>
  <pageMargins left="0.25" right="0.25" top="0.75" bottom="0.75" header="0.3" footer="0.3"/>
  <pageSetup scale="70" fitToHeight="0" orientation="landscape" cellComments="asDisplayed" r:id="rId1"/>
  <headerFooter>
    <oddFooter>&amp;A</oddFooter>
  </headerFooter>
  <ignoredErrors>
    <ignoredError sqref="L18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J14" sqref="J14"/>
    </sheetView>
  </sheetViews>
  <sheetFormatPr defaultColWidth="9.109375" defaultRowHeight="13.2" x14ac:dyDescent="0.25"/>
  <cols>
    <col min="1" max="1" width="3.33203125" style="60" customWidth="1"/>
    <col min="2" max="2" width="36.109375" style="60" bestFit="1" customWidth="1"/>
    <col min="3" max="3" width="5.44140625" style="60" customWidth="1"/>
    <col min="4" max="6" width="16.5546875" style="60" customWidth="1"/>
    <col min="7" max="16384" width="9.109375" style="60"/>
  </cols>
  <sheetData>
    <row r="1" spans="1:7" ht="13.05" thickBot="1" x14ac:dyDescent="0.3">
      <c r="A1" s="77"/>
      <c r="B1" s="78"/>
      <c r="C1" s="78"/>
      <c r="D1" s="78"/>
      <c r="E1" s="78"/>
      <c r="F1" s="78"/>
      <c r="G1" s="78"/>
    </row>
    <row r="2" spans="1:7" ht="13.5" thickBot="1" x14ac:dyDescent="0.35">
      <c r="A2" s="77"/>
      <c r="B2" s="725" t="s">
        <v>102</v>
      </c>
      <c r="C2" s="726"/>
      <c r="D2" s="726"/>
      <c r="E2" s="726"/>
      <c r="F2" s="727"/>
      <c r="G2" s="79"/>
    </row>
    <row r="3" spans="1:7" ht="13.05" x14ac:dyDescent="0.3">
      <c r="A3" s="77"/>
      <c r="B3" s="16" t="s">
        <v>103</v>
      </c>
      <c r="C3" s="80"/>
      <c r="D3" s="81" t="s">
        <v>48</v>
      </c>
      <c r="E3" s="77"/>
      <c r="F3" s="82">
        <v>1566</v>
      </c>
      <c r="G3" s="83"/>
    </row>
    <row r="4" spans="1:7" ht="13.05" x14ac:dyDescent="0.3">
      <c r="A4" s="77"/>
      <c r="B4" s="84"/>
      <c r="C4" s="85"/>
      <c r="D4" s="86" t="s">
        <v>33</v>
      </c>
      <c r="E4" s="86" t="s">
        <v>34</v>
      </c>
      <c r="F4" s="87" t="s">
        <v>35</v>
      </c>
      <c r="G4" s="88"/>
    </row>
    <row r="5" spans="1:7" ht="18" customHeight="1" x14ac:dyDescent="0.3">
      <c r="A5" s="77"/>
      <c r="B5" s="533" t="str">
        <f>'Master Lookup'!B13</f>
        <v>Program Management</v>
      </c>
      <c r="C5" s="608"/>
      <c r="D5" s="488">
        <f>'Master Lookup'!C13</f>
        <v>66664</v>
      </c>
      <c r="E5" s="610">
        <v>0.05</v>
      </c>
      <c r="F5" s="92">
        <f>D5*E5</f>
        <v>3333.2000000000003</v>
      </c>
      <c r="G5" s="93"/>
    </row>
    <row r="6" spans="1:7" ht="18" customHeight="1" x14ac:dyDescent="0.3">
      <c r="A6" s="77"/>
      <c r="B6" s="533" t="str">
        <f>'Master Lookup'!B18</f>
        <v>Clinician (MA Level)</v>
      </c>
      <c r="C6" s="608"/>
      <c r="D6" s="605">
        <f>'Master Lookup'!C18</f>
        <v>52665.599999999999</v>
      </c>
      <c r="E6" s="609">
        <v>0.1</v>
      </c>
      <c r="F6" s="92">
        <f>D6*E6</f>
        <v>5266.56</v>
      </c>
      <c r="G6" s="93"/>
    </row>
    <row r="7" spans="1:7" ht="18" customHeight="1" x14ac:dyDescent="0.3">
      <c r="A7" s="77"/>
      <c r="B7" s="533" t="str">
        <f>'Master Lookup'!B20</f>
        <v>Direct Care III</v>
      </c>
      <c r="C7" s="608"/>
      <c r="D7" s="605">
        <f>'Master Lookup'!C20</f>
        <v>41516.800000000003</v>
      </c>
      <c r="E7" s="609">
        <v>1</v>
      </c>
      <c r="F7" s="92">
        <f>D7*E7</f>
        <v>41516.800000000003</v>
      </c>
      <c r="G7" s="93"/>
    </row>
    <row r="8" spans="1:7" ht="18" customHeight="1" x14ac:dyDescent="0.3">
      <c r="A8" s="77"/>
      <c r="B8" s="607" t="str">
        <f>'Master Lookup'!B22</f>
        <v>Support Staffing</v>
      </c>
      <c r="C8" s="608"/>
      <c r="D8" s="605">
        <f>'Master Lookup'!C22</f>
        <v>32198.400000000001</v>
      </c>
      <c r="E8" s="610">
        <v>0.05</v>
      </c>
      <c r="F8" s="92">
        <f>D8*E8</f>
        <v>1609.92</v>
      </c>
      <c r="G8" s="93"/>
    </row>
    <row r="9" spans="1:7" ht="18" customHeight="1" x14ac:dyDescent="0.3">
      <c r="A9" s="77"/>
      <c r="B9" s="611" t="s">
        <v>36</v>
      </c>
      <c r="C9" s="612"/>
      <c r="D9" s="612"/>
      <c r="E9" s="613">
        <f>SUM(E5:E8)</f>
        <v>1.2</v>
      </c>
      <c r="F9" s="99">
        <f>SUM(F5:F8)</f>
        <v>51726.48</v>
      </c>
      <c r="G9" s="93"/>
    </row>
    <row r="10" spans="1:7" ht="13.05" x14ac:dyDescent="0.3">
      <c r="A10" s="77"/>
      <c r="B10" s="614"/>
      <c r="C10" s="608"/>
      <c r="D10" s="608"/>
      <c r="E10" s="608"/>
      <c r="F10" s="101"/>
      <c r="G10" s="93"/>
    </row>
    <row r="11" spans="1:7" ht="13.05" x14ac:dyDescent="0.3">
      <c r="A11" s="77"/>
      <c r="B11" s="615" t="s">
        <v>37</v>
      </c>
      <c r="C11" s="608"/>
      <c r="D11" s="608"/>
      <c r="E11" s="616" t="s">
        <v>38</v>
      </c>
      <c r="F11" s="101"/>
      <c r="G11" s="93"/>
    </row>
    <row r="12" spans="1:7" ht="13.05" x14ac:dyDescent="0.3">
      <c r="A12" s="77"/>
      <c r="B12" s="614" t="s">
        <v>14</v>
      </c>
      <c r="C12" s="608"/>
      <c r="D12" s="617">
        <f>'Master Lookup'!C30</f>
        <v>0.224</v>
      </c>
      <c r="E12" s="608"/>
      <c r="F12" s="92">
        <f>F9*D12</f>
        <v>11586.731520000001</v>
      </c>
      <c r="G12" s="93"/>
    </row>
    <row r="13" spans="1:7" ht="13.05" x14ac:dyDescent="0.3">
      <c r="A13" s="77"/>
      <c r="B13" s="611" t="s">
        <v>39</v>
      </c>
      <c r="C13" s="612"/>
      <c r="D13" s="612"/>
      <c r="E13" s="618"/>
      <c r="F13" s="99">
        <f>F12+F9</f>
        <v>63313.211520000004</v>
      </c>
      <c r="G13" s="93"/>
    </row>
    <row r="14" spans="1:7" ht="13.05" x14ac:dyDescent="0.3">
      <c r="A14" s="77"/>
      <c r="B14" s="614"/>
      <c r="C14" s="608"/>
      <c r="D14" s="608" t="s">
        <v>40</v>
      </c>
      <c r="E14" s="608"/>
      <c r="F14" s="101"/>
      <c r="G14" s="93"/>
    </row>
    <row r="15" spans="1:7" ht="13.05" x14ac:dyDescent="0.3">
      <c r="A15" s="77"/>
      <c r="B15" s="614" t="s">
        <v>15</v>
      </c>
      <c r="C15" s="608"/>
      <c r="D15" s="619">
        <f>'Master Lookup'!C25</f>
        <v>6983.3104000000003</v>
      </c>
      <c r="E15" s="620"/>
      <c r="F15" s="107">
        <f>D15*E9</f>
        <v>8379.9724800000004</v>
      </c>
      <c r="G15" s="93"/>
    </row>
    <row r="16" spans="1:7" ht="13.05" x14ac:dyDescent="0.3">
      <c r="A16" s="77"/>
      <c r="B16" s="645" t="str">
        <f>'Master Lookup'!B29</f>
        <v>PFMLA</v>
      </c>
      <c r="C16" s="608"/>
      <c r="D16" s="621">
        <f>'Master Lookup'!C29</f>
        <v>3.7000000000000002E-3</v>
      </c>
      <c r="E16" s="620"/>
      <c r="F16" s="107">
        <f>D16*F9</f>
        <v>191.38797600000001</v>
      </c>
      <c r="G16" s="93"/>
    </row>
    <row r="17" spans="1:11" ht="13.5" thickBot="1" x14ac:dyDescent="0.35">
      <c r="A17" s="77"/>
      <c r="B17" s="628" t="s">
        <v>16</v>
      </c>
      <c r="C17" s="631"/>
      <c r="D17" s="637">
        <f>'Master Lookup'!C26</f>
        <v>1250.2064</v>
      </c>
      <c r="E17" s="638"/>
      <c r="F17" s="112">
        <f>D17*E9</f>
        <v>1500.2476799999999</v>
      </c>
      <c r="G17" s="93"/>
    </row>
    <row r="18" spans="1:11" ht="13.5" thickTop="1" x14ac:dyDescent="0.3">
      <c r="A18" s="77"/>
      <c r="B18" s="626" t="s">
        <v>41</v>
      </c>
      <c r="C18" s="627"/>
      <c r="D18" s="627"/>
      <c r="E18" s="627"/>
      <c r="F18" s="113">
        <f>SUM(F13:F17)</f>
        <v>73384.819656000007</v>
      </c>
      <c r="G18" s="88"/>
      <c r="K18" s="242"/>
    </row>
    <row r="19" spans="1:11" ht="13.05" thickBot="1" x14ac:dyDescent="0.3">
      <c r="A19" s="77"/>
      <c r="B19" s="628" t="s">
        <v>42</v>
      </c>
      <c r="C19" s="629"/>
      <c r="D19" s="630">
        <f>'Master Lookup'!C31</f>
        <v>0.12</v>
      </c>
      <c r="E19" s="631"/>
      <c r="F19" s="116">
        <f>F18*D19</f>
        <v>8806.1783587200007</v>
      </c>
      <c r="G19" s="88"/>
    </row>
    <row r="20" spans="1:11" ht="13.5" thickTop="1" x14ac:dyDescent="0.3">
      <c r="A20" s="77"/>
      <c r="B20" s="626" t="s">
        <v>43</v>
      </c>
      <c r="C20" s="632"/>
      <c r="D20" s="632"/>
      <c r="E20" s="632"/>
      <c r="F20" s="113">
        <f>F18+F19</f>
        <v>82190.998014720011</v>
      </c>
      <c r="G20" s="118"/>
    </row>
    <row r="21" spans="1:11" ht="13.5" thickBot="1" x14ac:dyDescent="0.35">
      <c r="A21" s="77"/>
      <c r="B21" s="598" t="s">
        <v>296</v>
      </c>
      <c r="C21" s="632"/>
      <c r="D21" s="621">
        <f>'Master Lookup'!C35</f>
        <v>2.3997532813331963E-2</v>
      </c>
      <c r="E21" s="632"/>
      <c r="F21" s="113">
        <f>F20+(F20*D21)-(F9*D21)</f>
        <v>82922.071285420607</v>
      </c>
      <c r="G21" s="118"/>
    </row>
    <row r="22" spans="1:11" ht="13.05" x14ac:dyDescent="0.3">
      <c r="A22" s="77"/>
      <c r="B22" s="119" t="s">
        <v>45</v>
      </c>
      <c r="C22" s="120"/>
      <c r="D22" s="121"/>
      <c r="E22" s="122"/>
      <c r="F22" s="123">
        <f>F21/F3+0.02</f>
        <v>52.971514230792216</v>
      </c>
      <c r="G22" s="124"/>
    </row>
    <row r="23" spans="1:11" ht="13.5" thickBot="1" x14ac:dyDescent="0.35">
      <c r="A23" s="77"/>
      <c r="B23" s="125" t="s">
        <v>104</v>
      </c>
      <c r="C23" s="126"/>
      <c r="D23" s="126"/>
      <c r="E23" s="127"/>
      <c r="F23" s="694">
        <f>F22/4</f>
        <v>13.242878557698054</v>
      </c>
      <c r="G23" s="124"/>
    </row>
    <row r="24" spans="1:11" ht="13.05" x14ac:dyDescent="0.3">
      <c r="A24" s="77"/>
      <c r="B24" s="128"/>
      <c r="C24" s="128"/>
      <c r="D24" s="129"/>
      <c r="E24" s="128"/>
      <c r="F24" s="130"/>
      <c r="G24" s="131"/>
    </row>
    <row r="25" spans="1:11" ht="13.05" x14ac:dyDescent="0.3">
      <c r="A25" s="77"/>
      <c r="B25" s="78"/>
      <c r="C25" s="78"/>
      <c r="D25" s="78"/>
      <c r="E25" s="67"/>
      <c r="F25" s="420"/>
      <c r="G25" s="132"/>
    </row>
    <row r="26" spans="1:11" ht="13.05" x14ac:dyDescent="0.3">
      <c r="A26" s="77"/>
      <c r="B26" s="77"/>
      <c r="C26" s="133"/>
      <c r="D26" s="134"/>
      <c r="E26" s="69"/>
      <c r="F26" s="70"/>
      <c r="G26" s="132"/>
    </row>
    <row r="28" spans="1:11" ht="12.45" x14ac:dyDescent="0.25">
      <c r="A28" s="77"/>
      <c r="B28" s="78"/>
      <c r="C28" s="78"/>
      <c r="D28" s="78"/>
      <c r="E28" s="78"/>
      <c r="F28" s="78"/>
      <c r="G28" s="132"/>
      <c r="H28" s="132"/>
    </row>
    <row r="29" spans="1:11" ht="12.45" x14ac:dyDescent="0.25">
      <c r="A29" s="77"/>
      <c r="B29" s="78"/>
      <c r="C29" s="78"/>
      <c r="D29" s="78"/>
      <c r="E29" s="78"/>
      <c r="F29" s="78"/>
      <c r="G29" s="132"/>
      <c r="H29" s="132"/>
    </row>
    <row r="30" spans="1:11" ht="12.45" x14ac:dyDescent="0.25">
      <c r="A30" s="77"/>
      <c r="B30" s="77"/>
      <c r="C30" s="77"/>
      <c r="D30" s="77"/>
      <c r="E30" s="77"/>
      <c r="F30" s="77"/>
      <c r="G30" s="132"/>
      <c r="H30" s="132"/>
    </row>
    <row r="31" spans="1:11" ht="12.45" x14ac:dyDescent="0.25">
      <c r="A31" s="77"/>
      <c r="B31" s="77"/>
      <c r="C31" s="77"/>
      <c r="D31" s="77"/>
      <c r="E31" s="77"/>
      <c r="F31" s="77"/>
      <c r="G31" s="132"/>
      <c r="H31" s="132"/>
    </row>
    <row r="32" spans="1:11" ht="12.45" x14ac:dyDescent="0.25">
      <c r="A32" s="77"/>
      <c r="B32" s="77"/>
      <c r="C32" s="77"/>
      <c r="D32" s="77"/>
      <c r="E32" s="77"/>
      <c r="F32" s="77"/>
      <c r="G32" s="132"/>
      <c r="H32" s="132"/>
    </row>
    <row r="33" spans="1:8" ht="12.45" x14ac:dyDescent="0.25">
      <c r="A33" s="77"/>
      <c r="B33" s="77"/>
      <c r="C33" s="77"/>
      <c r="D33" s="77"/>
      <c r="E33" s="77"/>
      <c r="F33" s="77"/>
      <c r="G33" s="135"/>
      <c r="H33" s="135"/>
    </row>
    <row r="34" spans="1:8" x14ac:dyDescent="0.25">
      <c r="A34" s="77"/>
      <c r="B34" s="77"/>
      <c r="C34" s="77"/>
      <c r="D34" s="77"/>
      <c r="E34" s="77"/>
      <c r="F34" s="77"/>
      <c r="G34" s="88"/>
      <c r="H34" s="88"/>
    </row>
    <row r="35" spans="1:8" x14ac:dyDescent="0.25">
      <c r="A35" s="71"/>
      <c r="B35" s="77"/>
      <c r="C35" s="77"/>
      <c r="D35" s="77"/>
      <c r="E35" s="77"/>
      <c r="F35" s="77"/>
      <c r="G35" s="136"/>
      <c r="H35" s="136"/>
    </row>
    <row r="36" spans="1:8" x14ac:dyDescent="0.25">
      <c r="A36" s="71"/>
      <c r="B36" s="77"/>
      <c r="C36" s="77"/>
      <c r="D36" s="77"/>
      <c r="E36" s="77"/>
      <c r="F36" s="77"/>
      <c r="G36" s="88"/>
      <c r="H36" s="88"/>
    </row>
    <row r="37" spans="1:8" x14ac:dyDescent="0.25">
      <c r="A37" s="71"/>
      <c r="B37" s="77"/>
      <c r="C37" s="77"/>
      <c r="D37" s="77"/>
      <c r="E37" s="77"/>
      <c r="F37" s="77"/>
      <c r="G37" s="118"/>
      <c r="H37" s="118"/>
    </row>
    <row r="38" spans="1:8" x14ac:dyDescent="0.25">
      <c r="A38" s="71"/>
      <c r="B38" s="77"/>
      <c r="C38" s="77"/>
      <c r="D38" s="77"/>
      <c r="E38" s="77"/>
      <c r="F38" s="77"/>
      <c r="G38" s="118"/>
      <c r="H38" s="118"/>
    </row>
    <row r="39" spans="1:8" x14ac:dyDescent="0.25">
      <c r="A39" s="71"/>
      <c r="B39" s="78"/>
      <c r="C39" s="78"/>
      <c r="D39" s="78"/>
      <c r="E39" s="78"/>
      <c r="F39" s="78"/>
      <c r="G39" s="137"/>
      <c r="H39" s="137"/>
    </row>
    <row r="40" spans="1:8" x14ac:dyDescent="0.25">
      <c r="A40" s="71"/>
      <c r="B40" s="7"/>
      <c r="C40" s="138"/>
      <c r="D40" s="138"/>
      <c r="E40" s="139"/>
      <c r="F40" s="7"/>
      <c r="G40" s="140"/>
      <c r="H40" s="141"/>
    </row>
    <row r="41" spans="1:8" x14ac:dyDescent="0.25">
      <c r="A41" s="77"/>
      <c r="B41" s="7"/>
      <c r="C41" s="138"/>
      <c r="D41" s="138"/>
      <c r="E41" s="139"/>
      <c r="F41" s="140"/>
      <c r="G41" s="140"/>
      <c r="H41" s="141"/>
    </row>
    <row r="42" spans="1:8" x14ac:dyDescent="0.25">
      <c r="A42" s="77"/>
      <c r="B42" s="7"/>
      <c r="C42" s="138"/>
      <c r="D42" s="138"/>
      <c r="E42" s="139"/>
      <c r="F42" s="140"/>
      <c r="G42" s="140"/>
      <c r="H42" s="141"/>
    </row>
    <row r="43" spans="1:8" x14ac:dyDescent="0.25">
      <c r="A43" s="77"/>
      <c r="B43" s="7"/>
      <c r="C43" s="138"/>
      <c r="D43" s="138"/>
      <c r="E43" s="139"/>
      <c r="F43" s="140"/>
      <c r="G43" s="140"/>
      <c r="H43" s="141"/>
    </row>
  </sheetData>
  <mergeCells count="1">
    <mergeCell ref="B2:F2"/>
  </mergeCells>
  <pageMargins left="0.25" right="0.25" top="0.75" bottom="0.75" header="0.3" footer="0.3"/>
  <pageSetup fitToHeight="0" orientation="landscape" cellComments="asDisplayed" r:id="rId1"/>
  <headerFooter>
    <oddFooter>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workbookViewId="0">
      <selection activeCell="I14" sqref="I14"/>
    </sheetView>
  </sheetViews>
  <sheetFormatPr defaultColWidth="9.109375" defaultRowHeight="13.2" x14ac:dyDescent="0.25"/>
  <cols>
    <col min="1" max="1" width="9.109375" style="60"/>
    <col min="2" max="2" width="34.5546875" style="60" customWidth="1"/>
    <col min="3" max="3" width="9.109375" style="60"/>
    <col min="4" max="4" width="14.33203125" style="60" customWidth="1"/>
    <col min="5" max="5" width="16.109375" style="60" customWidth="1"/>
    <col min="6" max="6" width="20" style="60" customWidth="1"/>
    <col min="7" max="8" width="9.109375" style="60"/>
    <col min="9" max="9" width="11.33203125" style="60" bestFit="1" customWidth="1"/>
    <col min="10" max="12" width="9.109375" style="60"/>
    <col min="13" max="13" width="10.5546875" style="60" bestFit="1" customWidth="1"/>
    <col min="14" max="14" width="9.109375" style="60"/>
    <col min="15" max="15" width="9.88671875" style="60" bestFit="1" customWidth="1"/>
    <col min="16" max="16384" width="9.109375" style="60"/>
  </cols>
  <sheetData>
    <row r="1" spans="1:7" ht="13.05" thickBot="1" x14ac:dyDescent="0.3">
      <c r="A1" s="58"/>
      <c r="B1" s="59"/>
      <c r="C1" s="59"/>
      <c r="D1" s="59"/>
      <c r="E1" s="59"/>
      <c r="F1" s="59"/>
      <c r="G1" s="59"/>
    </row>
    <row r="2" spans="1:7" ht="13.5" thickBot="1" x14ac:dyDescent="0.35">
      <c r="A2" s="58"/>
      <c r="B2" s="722" t="s">
        <v>105</v>
      </c>
      <c r="C2" s="723"/>
      <c r="D2" s="723"/>
      <c r="E2" s="723"/>
      <c r="F2" s="724"/>
      <c r="G2" s="8"/>
    </row>
    <row r="3" spans="1:7" ht="13.05" x14ac:dyDescent="0.3">
      <c r="A3" s="58"/>
      <c r="B3" s="16" t="s">
        <v>106</v>
      </c>
      <c r="C3" s="17"/>
      <c r="D3" s="18"/>
      <c r="E3" s="19" t="s">
        <v>107</v>
      </c>
      <c r="F3" s="20">
        <v>1281</v>
      </c>
      <c r="G3" s="9"/>
    </row>
    <row r="4" spans="1:7" ht="13.05" x14ac:dyDescent="0.3">
      <c r="A4" s="58"/>
      <c r="B4" s="22"/>
      <c r="C4" s="23"/>
      <c r="D4" s="24" t="s">
        <v>33</v>
      </c>
      <c r="E4" s="24" t="s">
        <v>34</v>
      </c>
      <c r="F4" s="25" t="s">
        <v>35</v>
      </c>
      <c r="G4" s="10"/>
    </row>
    <row r="5" spans="1:7" ht="13.05" x14ac:dyDescent="0.3">
      <c r="A5" s="58"/>
      <c r="B5" s="534" t="str">
        <f>'Master Lookup'!B13</f>
        <v>Program Management</v>
      </c>
      <c r="C5" s="204"/>
      <c r="D5" s="646">
        <f>'Master Lookup'!C13</f>
        <v>66664</v>
      </c>
      <c r="E5" s="647">
        <v>0.05</v>
      </c>
      <c r="F5" s="28">
        <f>D5*E5</f>
        <v>3333.2000000000003</v>
      </c>
      <c r="G5" s="8"/>
    </row>
    <row r="6" spans="1:7" ht="13.05" x14ac:dyDescent="0.3">
      <c r="A6" s="58"/>
      <c r="B6" s="534" t="str">
        <f>'Master Lookup'!B18</f>
        <v>Clinician (MA Level)</v>
      </c>
      <c r="C6" s="204"/>
      <c r="D6" s="646">
        <f>'Master Lookup'!C18</f>
        <v>52665.599999999999</v>
      </c>
      <c r="E6" s="647">
        <v>0.1</v>
      </c>
      <c r="F6" s="28">
        <f>D6*E6</f>
        <v>5266.56</v>
      </c>
      <c r="G6" s="11"/>
    </row>
    <row r="7" spans="1:7" ht="13.05" x14ac:dyDescent="0.3">
      <c r="A7" s="58"/>
      <c r="B7" s="534" t="str">
        <f>'Master Lookup'!B19</f>
        <v>Recovery specialist</v>
      </c>
      <c r="C7" s="204"/>
      <c r="D7" s="646">
        <f>'Master Lookup'!C19</f>
        <v>32198.400000000001</v>
      </c>
      <c r="E7" s="647">
        <v>1</v>
      </c>
      <c r="F7" s="28">
        <f>D7*E7</f>
        <v>32198.400000000001</v>
      </c>
      <c r="G7" s="11"/>
    </row>
    <row r="8" spans="1:7" ht="13.05" x14ac:dyDescent="0.3">
      <c r="A8" s="58"/>
      <c r="B8" s="534" t="str">
        <f>'Master Lookup'!B22</f>
        <v>Support Staffing</v>
      </c>
      <c r="C8" s="204"/>
      <c r="D8" s="646">
        <f>'Master Lookup'!C22</f>
        <v>32198.400000000001</v>
      </c>
      <c r="E8" s="648">
        <v>0.05</v>
      </c>
      <c r="F8" s="28">
        <f>D8*E8</f>
        <v>1609.92</v>
      </c>
      <c r="G8" s="11"/>
    </row>
    <row r="9" spans="1:7" ht="13.05" x14ac:dyDescent="0.3">
      <c r="A9" s="58"/>
      <c r="B9" s="649" t="s">
        <v>36</v>
      </c>
      <c r="C9" s="650"/>
      <c r="D9" s="650"/>
      <c r="E9" s="651">
        <f>SUM(E5:E8)</f>
        <v>1.2</v>
      </c>
      <c r="F9" s="33">
        <f>SUM(F5:F8)</f>
        <v>42408.08</v>
      </c>
      <c r="G9" s="11"/>
    </row>
    <row r="10" spans="1:7" ht="12.45" x14ac:dyDescent="0.25">
      <c r="A10" s="58"/>
      <c r="B10" s="652"/>
      <c r="C10" s="204"/>
      <c r="D10" s="204"/>
      <c r="E10" s="204"/>
      <c r="F10" s="34"/>
      <c r="G10" s="11"/>
    </row>
    <row r="11" spans="1:7" ht="13.05" x14ac:dyDescent="0.3">
      <c r="A11" s="58"/>
      <c r="B11" s="653" t="s">
        <v>37</v>
      </c>
      <c r="C11" s="204"/>
      <c r="D11" s="204"/>
      <c r="E11" s="654" t="s">
        <v>38</v>
      </c>
      <c r="F11" s="34"/>
      <c r="G11" s="11"/>
    </row>
    <row r="12" spans="1:7" ht="12.45" x14ac:dyDescent="0.25">
      <c r="A12" s="58"/>
      <c r="B12" s="652" t="s">
        <v>14</v>
      </c>
      <c r="C12" s="204"/>
      <c r="D12" s="75">
        <f>'Master Lookup'!C30</f>
        <v>0.224</v>
      </c>
      <c r="E12" s="204"/>
      <c r="F12" s="28">
        <f>F9*D12</f>
        <v>9499.4099200000001</v>
      </c>
      <c r="G12" s="11"/>
    </row>
    <row r="13" spans="1:7" ht="13.05" x14ac:dyDescent="0.3">
      <c r="A13" s="58"/>
      <c r="B13" s="649" t="s">
        <v>39</v>
      </c>
      <c r="C13" s="650"/>
      <c r="D13" s="650"/>
      <c r="E13" s="655">
        <f>F13/F3</f>
        <v>40.521069414519907</v>
      </c>
      <c r="F13" s="33">
        <f>F12+F9</f>
        <v>51907.48992</v>
      </c>
      <c r="G13" s="11"/>
    </row>
    <row r="14" spans="1:7" ht="12.45" x14ac:dyDescent="0.25">
      <c r="A14" s="58"/>
      <c r="B14" s="652"/>
      <c r="C14" s="204"/>
      <c r="D14" s="204"/>
      <c r="E14" s="656" t="s">
        <v>40</v>
      </c>
      <c r="F14" s="28"/>
      <c r="G14" s="11"/>
    </row>
    <row r="15" spans="1:7" ht="12.45" x14ac:dyDescent="0.25">
      <c r="A15" s="58"/>
      <c r="B15" s="652" t="s">
        <v>23</v>
      </c>
      <c r="C15" s="204"/>
      <c r="D15" s="204"/>
      <c r="E15" s="657">
        <f>'Master Lookup'!C28</f>
        <v>5541.3168000000005</v>
      </c>
      <c r="F15" s="28">
        <f>E15</f>
        <v>5541.3168000000005</v>
      </c>
      <c r="G15" s="11"/>
    </row>
    <row r="16" spans="1:7" ht="12.45" x14ac:dyDescent="0.25">
      <c r="A16" s="58"/>
      <c r="B16" s="652" t="s">
        <v>15</v>
      </c>
      <c r="C16" s="204"/>
      <c r="D16" s="204"/>
      <c r="E16" s="657">
        <f>'Master Lookup'!C25</f>
        <v>6983.3104000000003</v>
      </c>
      <c r="F16" s="28">
        <f>E16*E9</f>
        <v>8379.9724800000004</v>
      </c>
      <c r="G16" s="11"/>
    </row>
    <row r="17" spans="1:15" ht="12.45" x14ac:dyDescent="0.25">
      <c r="A17" s="58"/>
      <c r="B17" s="652" t="str">
        <f>'Master Lookup'!B29</f>
        <v>PFMLA</v>
      </c>
      <c r="C17" s="204"/>
      <c r="D17" s="204"/>
      <c r="E17" s="658">
        <f>'Master Lookup'!C29</f>
        <v>3.7000000000000002E-3</v>
      </c>
      <c r="F17" s="28">
        <f>F9*E17</f>
        <v>156.909896</v>
      </c>
      <c r="G17" s="11"/>
    </row>
    <row r="18" spans="1:15" ht="12.45" x14ac:dyDescent="0.25">
      <c r="A18" s="58"/>
      <c r="B18" s="652" t="s">
        <v>108</v>
      </c>
      <c r="C18" s="204"/>
      <c r="D18" s="204"/>
      <c r="E18" s="659">
        <f>'Master Lookup'!C26</f>
        <v>1250.2064</v>
      </c>
      <c r="F18" s="28">
        <f>E18*E9</f>
        <v>1500.2476799999999</v>
      </c>
      <c r="G18" s="11"/>
    </row>
    <row r="19" spans="1:15" ht="13.05" x14ac:dyDescent="0.3">
      <c r="A19" s="58"/>
      <c r="B19" s="649" t="s">
        <v>41</v>
      </c>
      <c r="C19" s="650"/>
      <c r="D19" s="650"/>
      <c r="E19" s="650"/>
      <c r="F19" s="33">
        <f>SUM(F13:F18)</f>
        <v>67485.936776000002</v>
      </c>
      <c r="G19" s="11"/>
    </row>
    <row r="20" spans="1:15" ht="12.45" x14ac:dyDescent="0.25">
      <c r="A20" s="58"/>
      <c r="B20" s="660" t="s">
        <v>42</v>
      </c>
      <c r="C20" s="661"/>
      <c r="D20" s="40">
        <f>'Master Lookup'!C31</f>
        <v>0.12</v>
      </c>
      <c r="E20" s="662"/>
      <c r="F20" s="42">
        <f>F19*D20</f>
        <v>8098.3124131200002</v>
      </c>
      <c r="G20" s="11"/>
    </row>
    <row r="21" spans="1:15" ht="15" thickBot="1" x14ac:dyDescent="0.4">
      <c r="A21" s="58"/>
      <c r="B21" s="663" t="s">
        <v>43</v>
      </c>
      <c r="C21" s="664"/>
      <c r="D21" s="664"/>
      <c r="E21" s="664"/>
      <c r="F21" s="44">
        <f>F19+F20</f>
        <v>75584.249189120004</v>
      </c>
      <c r="G21" s="12"/>
      <c r="J21"/>
      <c r="K21"/>
      <c r="L21"/>
      <c r="M21"/>
    </row>
    <row r="22" spans="1:15" ht="15.45" thickTop="1" thickBot="1" x14ac:dyDescent="0.4">
      <c r="A22" s="58"/>
      <c r="B22" s="598" t="s">
        <v>296</v>
      </c>
      <c r="C22" s="204"/>
      <c r="D22" s="75">
        <f>'Master Lookup'!C35</f>
        <v>2.3997532813331963E-2</v>
      </c>
      <c r="E22" s="204"/>
      <c r="F22" s="422">
        <f>F21+(F21*D22)-(F9*D22)</f>
        <v>76380.395397856555</v>
      </c>
      <c r="G22" s="12"/>
      <c r="J22"/>
      <c r="K22"/>
      <c r="L22"/>
      <c r="M22"/>
    </row>
    <row r="23" spans="1:15" ht="15.45" thickTop="1" thickBot="1" x14ac:dyDescent="0.4">
      <c r="A23" s="58"/>
      <c r="B23" s="665" t="s">
        <v>109</v>
      </c>
      <c r="C23" s="666"/>
      <c r="D23" s="666"/>
      <c r="E23" s="666"/>
      <c r="F23" s="47">
        <f>F22/F3+0.01</f>
        <v>59.635601403478965</v>
      </c>
      <c r="G23" s="10"/>
      <c r="I23" s="245"/>
      <c r="J23"/>
      <c r="K23"/>
      <c r="L23"/>
      <c r="M23"/>
    </row>
    <row r="24" spans="1:15" ht="15" thickBot="1" x14ac:dyDescent="0.4">
      <c r="A24" s="58"/>
      <c r="B24" s="61" t="s">
        <v>110</v>
      </c>
      <c r="C24" s="62"/>
      <c r="D24" s="63"/>
      <c r="E24" s="62"/>
      <c r="F24" s="64">
        <f>F23*0.25</f>
        <v>14.908900350869741</v>
      </c>
      <c r="G24" s="13"/>
      <c r="I24" s="246"/>
      <c r="J24"/>
      <c r="K24"/>
      <c r="L24"/>
      <c r="M24"/>
      <c r="O24" s="244"/>
    </row>
    <row r="25" spans="1:15" ht="14.4" x14ac:dyDescent="0.3">
      <c r="A25" s="58"/>
      <c r="B25" s="21"/>
      <c r="C25" s="21"/>
      <c r="D25" s="51"/>
      <c r="E25" s="21" t="s">
        <v>299</v>
      </c>
      <c r="F25" s="65">
        <v>14.57</v>
      </c>
      <c r="G25" s="14"/>
      <c r="J25"/>
      <c r="K25"/>
      <c r="L25"/>
      <c r="M25" s="243"/>
    </row>
    <row r="26" spans="1:15" x14ac:dyDescent="0.25">
      <c r="A26" s="58"/>
      <c r="E26" s="67"/>
      <c r="F26" s="420">
        <f>(F24-F25)/F25</f>
        <v>2.3260147623180578E-2</v>
      </c>
      <c r="G26" s="13"/>
    </row>
    <row r="27" spans="1:15" x14ac:dyDescent="0.25">
      <c r="E27" s="69"/>
      <c r="F27" s="70"/>
    </row>
    <row r="28" spans="1:15" x14ac:dyDescent="0.25">
      <c r="A28" s="58"/>
      <c r="B28" s="59"/>
      <c r="C28" s="59"/>
      <c r="D28" s="59"/>
      <c r="E28" s="58"/>
      <c r="F28" s="58"/>
      <c r="G28" s="13"/>
      <c r="H28" s="59"/>
    </row>
    <row r="29" spans="1:15" x14ac:dyDescent="0.25">
      <c r="A29" s="58"/>
      <c r="B29" s="59"/>
      <c r="C29" s="59"/>
      <c r="D29" s="59"/>
      <c r="E29" s="58"/>
      <c r="F29" s="58"/>
      <c r="G29" s="13"/>
      <c r="H29" s="59"/>
    </row>
    <row r="30" spans="1:15" x14ac:dyDescent="0.25">
      <c r="A30" s="58"/>
      <c r="B30" s="59"/>
      <c r="C30" s="59"/>
      <c r="D30" s="59"/>
      <c r="E30" s="58"/>
      <c r="F30" s="58"/>
      <c r="G30" s="13"/>
      <c r="H30" s="59"/>
    </row>
    <row r="31" spans="1:15" x14ac:dyDescent="0.25">
      <c r="A31" s="58"/>
      <c r="B31" s="58"/>
      <c r="C31" s="58"/>
      <c r="D31" s="58"/>
      <c r="E31" s="58"/>
      <c r="F31" s="58"/>
      <c r="G31" s="15"/>
      <c r="H31" s="59"/>
    </row>
    <row r="32" spans="1:15" x14ac:dyDescent="0.25">
      <c r="A32" s="58"/>
      <c r="B32" s="58"/>
      <c r="C32" s="58"/>
      <c r="D32" s="58"/>
      <c r="E32" s="58"/>
      <c r="F32" s="58"/>
      <c r="G32" s="10"/>
      <c r="H32" s="59"/>
    </row>
    <row r="33" spans="1:8" x14ac:dyDescent="0.25">
      <c r="A33" s="58"/>
      <c r="B33" s="58"/>
      <c r="C33" s="58"/>
      <c r="D33" s="58"/>
      <c r="E33" s="58"/>
      <c r="F33" s="58"/>
      <c r="G33" s="12"/>
      <c r="H33" s="59"/>
    </row>
    <row r="34" spans="1:8" x14ac:dyDescent="0.25">
      <c r="A34" s="58"/>
      <c r="B34" s="58"/>
      <c r="C34" s="58"/>
      <c r="D34" s="58"/>
      <c r="E34" s="58"/>
      <c r="F34" s="58"/>
      <c r="G34" s="10"/>
      <c r="H34" s="59"/>
    </row>
    <row r="35" spans="1:8" x14ac:dyDescent="0.25">
      <c r="A35" s="71"/>
      <c r="B35" s="58"/>
      <c r="C35" s="58"/>
      <c r="D35" s="58"/>
      <c r="E35" s="58"/>
      <c r="F35" s="58"/>
      <c r="G35" s="11"/>
      <c r="H35" s="59"/>
    </row>
    <row r="36" spans="1:8" x14ac:dyDescent="0.25">
      <c r="A36" s="71"/>
      <c r="B36" s="58"/>
      <c r="C36" s="58"/>
      <c r="D36" s="58"/>
      <c r="E36" s="58"/>
      <c r="F36" s="58"/>
      <c r="G36" s="11"/>
      <c r="H36" s="59"/>
    </row>
    <row r="37" spans="1:8" x14ac:dyDescent="0.25">
      <c r="A37" s="71"/>
      <c r="B37" s="58"/>
      <c r="C37" s="58"/>
      <c r="D37" s="58"/>
      <c r="E37" s="58"/>
      <c r="F37" s="58"/>
      <c r="G37" s="10"/>
      <c r="H37" s="59"/>
    </row>
    <row r="38" spans="1:8" x14ac:dyDescent="0.25">
      <c r="A38" s="71"/>
      <c r="B38" s="58"/>
      <c r="C38" s="58"/>
      <c r="D38" s="58"/>
      <c r="E38" s="58"/>
      <c r="F38" s="58"/>
      <c r="G38" s="12"/>
      <c r="H38" s="59"/>
    </row>
    <row r="39" spans="1:8" x14ac:dyDescent="0.25">
      <c r="A39" s="71"/>
      <c r="B39" s="58"/>
      <c r="C39" s="58"/>
      <c r="D39" s="58"/>
      <c r="E39" s="58"/>
      <c r="F39" s="58"/>
      <c r="G39" s="10"/>
      <c r="H39" s="59"/>
    </row>
    <row r="40" spans="1:8" x14ac:dyDescent="0.25">
      <c r="A40" s="71"/>
      <c r="B40" s="58"/>
      <c r="C40" s="58"/>
      <c r="D40" s="58"/>
      <c r="E40" s="58"/>
      <c r="F40" s="58"/>
      <c r="G40" s="58"/>
      <c r="H40" s="58"/>
    </row>
    <row r="41" spans="1:8" x14ac:dyDescent="0.25">
      <c r="A41" s="58"/>
      <c r="B41" s="58"/>
      <c r="C41" s="58"/>
      <c r="D41" s="58"/>
      <c r="E41" s="58"/>
      <c r="F41" s="58"/>
      <c r="G41" s="58"/>
      <c r="H41" s="58"/>
    </row>
    <row r="42" spans="1:8" x14ac:dyDescent="0.25">
      <c r="A42" s="58"/>
      <c r="B42" s="58"/>
      <c r="C42" s="58"/>
      <c r="D42" s="58"/>
      <c r="E42" s="58"/>
      <c r="F42" s="58"/>
      <c r="G42" s="58"/>
      <c r="H42" s="58"/>
    </row>
    <row r="43" spans="1:8" x14ac:dyDescent="0.25">
      <c r="A43" s="58"/>
      <c r="B43" s="58"/>
      <c r="C43" s="58"/>
      <c r="D43" s="58"/>
      <c r="E43" s="58"/>
      <c r="F43" s="58"/>
      <c r="G43" s="58"/>
      <c r="H43" s="58"/>
    </row>
    <row r="44" spans="1:8" x14ac:dyDescent="0.25">
      <c r="A44" s="58"/>
      <c r="B44" s="58"/>
      <c r="C44" s="58"/>
      <c r="D44" s="58"/>
      <c r="G44" s="58"/>
      <c r="H44" s="58"/>
    </row>
    <row r="45" spans="1:8" x14ac:dyDescent="0.25">
      <c r="A45" s="58"/>
      <c r="B45" s="58"/>
      <c r="C45" s="58"/>
      <c r="D45" s="58"/>
      <c r="G45" s="58"/>
      <c r="H45" s="58"/>
    </row>
    <row r="46" spans="1:8" x14ac:dyDescent="0.25">
      <c r="A46" s="58"/>
      <c r="B46" s="58"/>
      <c r="C46" s="58"/>
      <c r="D46" s="58"/>
      <c r="G46" s="58"/>
      <c r="H46" s="58"/>
    </row>
    <row r="47" spans="1:8" x14ac:dyDescent="0.25">
      <c r="A47" s="58"/>
      <c r="G47" s="58"/>
      <c r="H47" s="58"/>
    </row>
  </sheetData>
  <mergeCells count="1">
    <mergeCell ref="B2:F2"/>
  </mergeCells>
  <pageMargins left="0.25" right="0.25" top="0.75" bottom="0.75" header="0.3" footer="0.3"/>
  <pageSetup fitToHeight="0" orientation="landscape" cellComments="asDisplayed" r:id="rId1"/>
  <headerFooter>
    <oddFooter>&amp;A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selection activeCell="I16" sqref="I16"/>
    </sheetView>
  </sheetViews>
  <sheetFormatPr defaultColWidth="9.109375" defaultRowHeight="13.2" x14ac:dyDescent="0.25"/>
  <cols>
    <col min="1" max="1" width="9.109375" style="60"/>
    <col min="2" max="2" width="40.109375" style="60" customWidth="1"/>
    <col min="3" max="3" width="7.33203125" style="60" customWidth="1"/>
    <col min="4" max="6" width="17.44140625" style="60" customWidth="1"/>
    <col min="7" max="8" width="9.109375" style="60"/>
    <col min="9" max="9" width="5.33203125" style="60" customWidth="1"/>
    <col min="10" max="10" width="4" style="60" customWidth="1"/>
    <col min="11" max="11" width="14.109375" style="60" customWidth="1"/>
    <col min="12" max="16384" width="9.109375" style="60"/>
  </cols>
  <sheetData>
    <row r="1" spans="1:7" ht="13.05" thickBot="1" x14ac:dyDescent="0.3">
      <c r="A1" s="58"/>
      <c r="B1" s="59"/>
      <c r="C1" s="59"/>
      <c r="D1" s="59"/>
      <c r="E1" s="59"/>
      <c r="F1" s="59"/>
      <c r="G1" s="59"/>
    </row>
    <row r="2" spans="1:7" ht="13.5" thickBot="1" x14ac:dyDescent="0.35">
      <c r="A2" s="58"/>
      <c r="B2" s="722" t="s">
        <v>111</v>
      </c>
      <c r="C2" s="723"/>
      <c r="D2" s="723"/>
      <c r="E2" s="723"/>
      <c r="F2" s="724"/>
      <c r="G2" s="8"/>
    </row>
    <row r="3" spans="1:7" ht="13.05" x14ac:dyDescent="0.3">
      <c r="A3" s="58"/>
      <c r="B3" s="16" t="s">
        <v>112</v>
      </c>
      <c r="C3" s="17"/>
      <c r="D3" s="18"/>
      <c r="E3" s="19" t="s">
        <v>107</v>
      </c>
      <c r="F3" s="20">
        <v>1259</v>
      </c>
      <c r="G3" s="9"/>
    </row>
    <row r="4" spans="1:7" ht="13.05" x14ac:dyDescent="0.3">
      <c r="A4" s="58"/>
      <c r="B4" s="22"/>
      <c r="C4" s="23"/>
      <c r="D4" s="24" t="s">
        <v>33</v>
      </c>
      <c r="E4" s="24" t="s">
        <v>34</v>
      </c>
      <c r="F4" s="25" t="s">
        <v>35</v>
      </c>
      <c r="G4" s="10"/>
    </row>
    <row r="5" spans="1:7" ht="13.05" x14ac:dyDescent="0.3">
      <c r="A5" s="58"/>
      <c r="B5" s="534" t="str">
        <f>'Master Lookup'!B13</f>
        <v>Program Management</v>
      </c>
      <c r="C5" s="204"/>
      <c r="D5" s="646">
        <f>'Master Lookup'!C13</f>
        <v>66664</v>
      </c>
      <c r="E5" s="27">
        <v>0.05</v>
      </c>
      <c r="F5" s="28">
        <f>D5*E5</f>
        <v>3333.2000000000003</v>
      </c>
      <c r="G5" s="8"/>
    </row>
    <row r="6" spans="1:7" ht="13.05" x14ac:dyDescent="0.3">
      <c r="A6" s="58"/>
      <c r="B6" s="534" t="str">
        <f>'Master Lookup'!B17</f>
        <v>Clinical  (LICSW)</v>
      </c>
      <c r="C6" s="204"/>
      <c r="D6" s="646">
        <f>'Master Lookup'!C17</f>
        <v>60923.199999999997</v>
      </c>
      <c r="E6" s="293">
        <v>0.1</v>
      </c>
      <c r="F6" s="28">
        <f>D6*E6</f>
        <v>6092.32</v>
      </c>
      <c r="G6" s="11"/>
    </row>
    <row r="7" spans="1:7" ht="13.05" x14ac:dyDescent="0.3">
      <c r="A7" s="58"/>
      <c r="B7" s="534" t="str">
        <f>'Master Lookup'!B18</f>
        <v>Clinician (MA Level)</v>
      </c>
      <c r="C7" s="204"/>
      <c r="D7" s="646">
        <f>'Master Lookup'!C18</f>
        <v>52665.599999999999</v>
      </c>
      <c r="E7" s="29">
        <v>1</v>
      </c>
      <c r="F7" s="28">
        <f>D7*E7</f>
        <v>52665.599999999999</v>
      </c>
      <c r="G7" s="11"/>
    </row>
    <row r="8" spans="1:7" ht="13.05" x14ac:dyDescent="0.3">
      <c r="A8" s="58"/>
      <c r="B8" s="534" t="s">
        <v>12</v>
      </c>
      <c r="C8" s="204"/>
      <c r="D8" s="646">
        <f>'Master Lookup'!C22</f>
        <v>32198.400000000001</v>
      </c>
      <c r="E8" s="30">
        <v>0.15</v>
      </c>
      <c r="F8" s="28">
        <f>D8*E8</f>
        <v>4829.76</v>
      </c>
      <c r="G8" s="11"/>
    </row>
    <row r="9" spans="1:7" ht="13.05" x14ac:dyDescent="0.3">
      <c r="A9" s="58"/>
      <c r="B9" s="649" t="s">
        <v>36</v>
      </c>
      <c r="C9" s="650"/>
      <c r="D9" s="650"/>
      <c r="E9" s="32">
        <f>SUM(E5:E8)</f>
        <v>1.2999999999999998</v>
      </c>
      <c r="F9" s="33">
        <f>SUM(F5:F8)</f>
        <v>66920.87999999999</v>
      </c>
      <c r="G9" s="11"/>
    </row>
    <row r="10" spans="1:7" ht="12.45" x14ac:dyDescent="0.25">
      <c r="A10" s="58"/>
      <c r="B10" s="652"/>
      <c r="C10" s="204"/>
      <c r="D10" s="204"/>
      <c r="E10" s="21"/>
      <c r="F10" s="34"/>
      <c r="G10" s="59"/>
    </row>
    <row r="11" spans="1:7" ht="13.05" x14ac:dyDescent="0.3">
      <c r="A11" s="58"/>
      <c r="B11" s="653" t="s">
        <v>37</v>
      </c>
      <c r="C11" s="204"/>
      <c r="D11" s="204"/>
      <c r="E11" s="35" t="s">
        <v>38</v>
      </c>
      <c r="F11" s="34"/>
      <c r="G11" s="59"/>
    </row>
    <row r="12" spans="1:7" ht="12.45" x14ac:dyDescent="0.25">
      <c r="A12" s="58"/>
      <c r="B12" s="652" t="s">
        <v>14</v>
      </c>
      <c r="C12" s="204"/>
      <c r="D12" s="75">
        <f>'Master Lookup'!C30</f>
        <v>0.224</v>
      </c>
      <c r="E12" s="21"/>
      <c r="F12" s="28">
        <f>F9*D12</f>
        <v>14990.277119999999</v>
      </c>
      <c r="G12" s="11"/>
    </row>
    <row r="13" spans="1:7" ht="13.05" x14ac:dyDescent="0.3">
      <c r="A13" s="58"/>
      <c r="B13" s="649" t="s">
        <v>39</v>
      </c>
      <c r="C13" s="650"/>
      <c r="D13" s="650"/>
      <c r="E13" s="36">
        <f>F13/F3</f>
        <v>65.060490166799042</v>
      </c>
      <c r="F13" s="33">
        <f>F12+F9</f>
        <v>81911.157119999989</v>
      </c>
      <c r="G13" s="11"/>
    </row>
    <row r="14" spans="1:7" ht="12.45" x14ac:dyDescent="0.25">
      <c r="A14" s="58"/>
      <c r="B14" s="652"/>
      <c r="C14" s="204"/>
      <c r="D14" s="204"/>
      <c r="E14" s="37" t="s">
        <v>40</v>
      </c>
      <c r="F14" s="28"/>
      <c r="G14" s="11"/>
    </row>
    <row r="15" spans="1:7" ht="12.45" x14ac:dyDescent="0.25">
      <c r="A15" s="58"/>
      <c r="B15" s="652" t="s">
        <v>23</v>
      </c>
      <c r="C15" s="204"/>
      <c r="D15" s="204"/>
      <c r="E15" s="38">
        <f>'Master Lookup'!C28</f>
        <v>5541.3168000000005</v>
      </c>
      <c r="F15" s="28">
        <f>E15</f>
        <v>5541.3168000000005</v>
      </c>
      <c r="G15" s="11"/>
    </row>
    <row r="16" spans="1:7" ht="12.45" x14ac:dyDescent="0.25">
      <c r="A16" s="58"/>
      <c r="B16" s="652" t="s">
        <v>15</v>
      </c>
      <c r="C16" s="204"/>
      <c r="D16" s="204"/>
      <c r="E16" s="38">
        <f>'Master Lookup'!C25</f>
        <v>6983.3104000000003</v>
      </c>
      <c r="F16" s="28">
        <f>E16*E9</f>
        <v>9078.3035199999995</v>
      </c>
      <c r="G16" s="72"/>
    </row>
    <row r="17" spans="1:8" ht="12.45" x14ac:dyDescent="0.25">
      <c r="A17" s="58"/>
      <c r="B17" s="652" t="str">
        <f>'Master Lookup'!B29</f>
        <v>PFMLA</v>
      </c>
      <c r="C17" s="204"/>
      <c r="D17" s="204"/>
      <c r="E17" s="421">
        <f>'Master Lookup'!C29</f>
        <v>3.7000000000000002E-3</v>
      </c>
      <c r="F17" s="28">
        <f>E17*F9</f>
        <v>247.60725599999998</v>
      </c>
      <c r="G17" s="72"/>
    </row>
    <row r="18" spans="1:8" ht="12.45" x14ac:dyDescent="0.25">
      <c r="A18" s="58"/>
      <c r="B18" s="652" t="s">
        <v>108</v>
      </c>
      <c r="C18" s="204"/>
      <c r="D18" s="204"/>
      <c r="E18" s="39">
        <f>'Master Lookup'!C26</f>
        <v>1250.2064</v>
      </c>
      <c r="F18" s="28">
        <f>E18*E9</f>
        <v>1625.2683199999999</v>
      </c>
      <c r="G18" s="72"/>
    </row>
    <row r="19" spans="1:8" ht="13.05" x14ac:dyDescent="0.3">
      <c r="A19" s="58"/>
      <c r="B19" s="649" t="s">
        <v>41</v>
      </c>
      <c r="C19" s="650"/>
      <c r="D19" s="650"/>
      <c r="E19" s="31"/>
      <c r="F19" s="33">
        <f>SUM(F13:F18)</f>
        <v>98403.653015999997</v>
      </c>
      <c r="G19" s="72"/>
    </row>
    <row r="20" spans="1:8" ht="12.45" x14ac:dyDescent="0.25">
      <c r="A20" s="58"/>
      <c r="B20" s="660" t="s">
        <v>42</v>
      </c>
      <c r="C20" s="661"/>
      <c r="D20" s="40">
        <f>'Master Lookup'!C31</f>
        <v>0.12</v>
      </c>
      <c r="E20" s="41"/>
      <c r="F20" s="42">
        <f>F19*D20</f>
        <v>11808.43836192</v>
      </c>
      <c r="G20" s="11"/>
    </row>
    <row r="21" spans="1:8" ht="13.5" thickBot="1" x14ac:dyDescent="0.35">
      <c r="A21" s="58"/>
      <c r="B21" s="663" t="s">
        <v>43</v>
      </c>
      <c r="C21" s="664"/>
      <c r="D21" s="664"/>
      <c r="E21" s="43"/>
      <c r="F21" s="423">
        <f>F19+F20</f>
        <v>110212.09137791999</v>
      </c>
      <c r="G21" s="12"/>
    </row>
    <row r="22" spans="1:8" ht="13.95" thickTop="1" thickBot="1" x14ac:dyDescent="0.35">
      <c r="A22" s="58"/>
      <c r="B22" s="598" t="s">
        <v>296</v>
      </c>
      <c r="C22" s="667"/>
      <c r="D22" s="658">
        <f>'Master Lookup'!C35</f>
        <v>2.3997532813331963E-2</v>
      </c>
      <c r="E22" s="53"/>
      <c r="F22" s="423">
        <f>F21+(F21*D22)-(F9*D22)</f>
        <v>111250.97364349052</v>
      </c>
      <c r="G22" s="12"/>
    </row>
    <row r="23" spans="1:8" ht="13.05" thickTop="1" x14ac:dyDescent="0.25">
      <c r="A23" s="58"/>
      <c r="B23" s="45" t="s">
        <v>109</v>
      </c>
      <c r="C23" s="46"/>
      <c r="D23" s="46"/>
      <c r="E23" s="46"/>
      <c r="F23" s="851">
        <f>F22/F3</f>
        <v>88.364554125091757</v>
      </c>
      <c r="G23" s="424"/>
      <c r="H23" s="425"/>
    </row>
    <row r="24" spans="1:8" ht="13.05" thickBot="1" x14ac:dyDescent="0.3">
      <c r="A24" s="58"/>
      <c r="B24" s="48" t="s">
        <v>113</v>
      </c>
      <c r="C24" s="49"/>
      <c r="D24" s="50"/>
      <c r="E24" s="49"/>
      <c r="F24" s="535">
        <f>F23*0.25</f>
        <v>22.091138531272939</v>
      </c>
      <c r="G24" s="13"/>
    </row>
    <row r="25" spans="1:8" ht="12.45" x14ac:dyDescent="0.25">
      <c r="A25" s="58"/>
      <c r="B25" s="21"/>
      <c r="C25" s="21"/>
      <c r="D25" s="51"/>
      <c r="E25" s="37"/>
      <c r="F25" s="426"/>
      <c r="G25" s="13"/>
    </row>
    <row r="26" spans="1:8" ht="12.45" x14ac:dyDescent="0.25">
      <c r="A26" s="58"/>
      <c r="B26" s="21"/>
      <c r="C26" s="21"/>
      <c r="D26" s="51"/>
      <c r="E26" s="21"/>
      <c r="F26" s="421"/>
      <c r="G26" s="13"/>
    </row>
    <row r="27" spans="1:8" ht="12.45" x14ac:dyDescent="0.25">
      <c r="A27" s="58"/>
      <c r="B27" s="21"/>
      <c r="C27" s="21"/>
      <c r="D27" s="51"/>
      <c r="E27" s="21"/>
      <c r="F27" s="426"/>
      <c r="G27" s="13"/>
    </row>
    <row r="28" spans="1:8" ht="12.45" x14ac:dyDescent="0.25">
      <c r="A28" s="58"/>
      <c r="B28" s="21"/>
      <c r="C28" s="21"/>
      <c r="D28" s="51"/>
      <c r="E28" s="21"/>
      <c r="F28" s="426"/>
      <c r="G28" s="13"/>
    </row>
    <row r="29" spans="1:8" ht="12.45" x14ac:dyDescent="0.25">
      <c r="A29" s="58"/>
      <c r="B29" s="21"/>
      <c r="C29" s="21"/>
      <c r="D29" s="51"/>
      <c r="E29" s="21"/>
      <c r="F29" s="426"/>
      <c r="G29" s="13"/>
    </row>
    <row r="30" spans="1:8" ht="13.05" x14ac:dyDescent="0.3">
      <c r="A30" s="58"/>
      <c r="B30" s="73"/>
      <c r="C30" s="74"/>
      <c r="D30" s="75"/>
      <c r="E30" s="74"/>
      <c r="F30" s="52"/>
      <c r="G30" s="13"/>
    </row>
    <row r="31" spans="1:8" ht="13.05" x14ac:dyDescent="0.3">
      <c r="A31" s="58"/>
      <c r="E31" s="67"/>
      <c r="F31" s="68"/>
      <c r="G31" s="13"/>
    </row>
    <row r="32" spans="1:8" ht="13.05" x14ac:dyDescent="0.3">
      <c r="E32" s="69"/>
      <c r="F32" s="70"/>
    </row>
    <row r="33" spans="1:11" ht="12.45" x14ac:dyDescent="0.25">
      <c r="A33" s="58"/>
      <c r="B33" s="59"/>
      <c r="C33" s="59"/>
      <c r="D33" s="59"/>
      <c r="E33" s="59"/>
      <c r="F33" s="59"/>
      <c r="G33" s="13"/>
      <c r="H33" s="58"/>
      <c r="I33" s="10"/>
    </row>
    <row r="34" spans="1:11" ht="12.45" x14ac:dyDescent="0.25">
      <c r="A34" s="58"/>
      <c r="B34" s="59"/>
      <c r="C34" s="59"/>
      <c r="D34" s="59"/>
      <c r="E34" s="59"/>
      <c r="F34" s="59"/>
      <c r="G34" s="13"/>
      <c r="H34" s="59"/>
      <c r="I34" s="10"/>
      <c r="J34" s="202"/>
      <c r="K34" s="202"/>
    </row>
    <row r="35" spans="1:11" ht="12.45" x14ac:dyDescent="0.25">
      <c r="A35" s="58"/>
      <c r="B35" s="59"/>
      <c r="C35" s="59"/>
      <c r="D35" s="59"/>
      <c r="E35" s="59"/>
      <c r="F35" s="59"/>
      <c r="G35" s="13"/>
      <c r="H35" s="59"/>
      <c r="I35" s="10"/>
      <c r="J35" s="202"/>
      <c r="K35" s="202"/>
    </row>
    <row r="36" spans="1:11" ht="12.45" x14ac:dyDescent="0.25">
      <c r="A36" s="58"/>
      <c r="B36" s="58"/>
      <c r="C36" s="58"/>
      <c r="D36" s="58"/>
      <c r="E36" s="58"/>
      <c r="F36" s="58"/>
      <c r="G36" s="15"/>
      <c r="H36" s="59"/>
      <c r="I36" s="10"/>
      <c r="J36" s="202"/>
      <c r="K36" s="202"/>
    </row>
    <row r="37" spans="1:11" ht="12.45" x14ac:dyDescent="0.25">
      <c r="A37" s="58"/>
      <c r="B37" s="58"/>
      <c r="C37" s="58"/>
      <c r="D37" s="58"/>
      <c r="E37" s="58"/>
      <c r="F37" s="58"/>
      <c r="G37" s="10"/>
      <c r="H37" s="59"/>
      <c r="I37" s="10"/>
      <c r="J37" s="202"/>
      <c r="K37" s="202"/>
    </row>
    <row r="38" spans="1:11" ht="13.05" x14ac:dyDescent="0.3">
      <c r="A38" s="58"/>
      <c r="B38" s="58"/>
      <c r="C38" s="58"/>
      <c r="D38" s="58"/>
      <c r="E38" s="58"/>
      <c r="F38" s="58"/>
      <c r="G38" s="12"/>
      <c r="H38" s="59"/>
      <c r="I38" s="203"/>
      <c r="J38" s="202"/>
      <c r="K38" s="202"/>
    </row>
    <row r="39" spans="1:11" ht="12.45" x14ac:dyDescent="0.25">
      <c r="A39" s="58"/>
      <c r="B39" s="58"/>
      <c r="C39" s="58"/>
      <c r="D39" s="58"/>
      <c r="E39" s="58"/>
      <c r="F39" s="58"/>
      <c r="G39" s="10"/>
      <c r="H39" s="59"/>
      <c r="I39" s="10"/>
      <c r="J39" s="202"/>
      <c r="K39" s="202"/>
    </row>
    <row r="40" spans="1:11" ht="13.05" x14ac:dyDescent="0.3">
      <c r="A40" s="71"/>
      <c r="B40" s="58"/>
      <c r="C40" s="58"/>
      <c r="D40" s="58"/>
      <c r="E40" s="58"/>
      <c r="F40" s="58"/>
      <c r="G40" s="11"/>
      <c r="H40" s="59"/>
      <c r="I40" s="10"/>
      <c r="J40" s="202"/>
      <c r="K40" s="202"/>
    </row>
    <row r="41" spans="1:11" ht="13.05" x14ac:dyDescent="0.3">
      <c r="A41" s="71"/>
      <c r="B41" s="58"/>
      <c r="C41" s="58"/>
      <c r="D41" s="58"/>
      <c r="E41" s="58"/>
      <c r="F41" s="58"/>
      <c r="G41" s="11"/>
      <c r="H41" s="59"/>
      <c r="I41" s="204"/>
      <c r="J41" s="202"/>
      <c r="K41" s="202"/>
    </row>
    <row r="42" spans="1:11" ht="13.05" x14ac:dyDescent="0.3">
      <c r="A42" s="71"/>
      <c r="B42" s="58"/>
      <c r="C42" s="58"/>
      <c r="D42" s="58"/>
      <c r="E42" s="58"/>
      <c r="F42" s="58"/>
      <c r="G42" s="10"/>
      <c r="H42" s="59"/>
      <c r="I42" s="54"/>
    </row>
    <row r="43" spans="1:11" ht="13.05" x14ac:dyDescent="0.3">
      <c r="A43" s="71"/>
      <c r="B43" s="58"/>
      <c r="C43" s="58"/>
      <c r="D43" s="58"/>
      <c r="E43" s="58"/>
      <c r="F43" s="58"/>
      <c r="G43" s="12"/>
      <c r="H43" s="59"/>
      <c r="I43" s="58"/>
    </row>
    <row r="44" spans="1:11" x14ac:dyDescent="0.25">
      <c r="A44" s="71"/>
      <c r="B44" s="58"/>
      <c r="C44" s="58"/>
      <c r="D44" s="58"/>
      <c r="E44" s="58"/>
      <c r="F44" s="58"/>
      <c r="G44" s="10"/>
      <c r="H44" s="59"/>
      <c r="I44" s="58"/>
    </row>
    <row r="45" spans="1:11" x14ac:dyDescent="0.25">
      <c r="A45" s="71"/>
      <c r="B45" s="58"/>
      <c r="C45" s="58"/>
      <c r="D45" s="58"/>
      <c r="E45" s="58"/>
      <c r="F45" s="58"/>
      <c r="G45" s="58"/>
      <c r="H45" s="58"/>
      <c r="I45" s="58"/>
    </row>
    <row r="46" spans="1:11" x14ac:dyDescent="0.25">
      <c r="A46" s="58"/>
      <c r="B46" s="58"/>
      <c r="C46" s="58"/>
      <c r="D46" s="58"/>
      <c r="E46" s="58"/>
      <c r="F46" s="58"/>
      <c r="G46" s="58"/>
      <c r="H46" s="58"/>
      <c r="I46" s="58"/>
    </row>
    <row r="47" spans="1:11" x14ac:dyDescent="0.25">
      <c r="A47" s="58"/>
      <c r="B47" s="58"/>
      <c r="C47" s="58"/>
      <c r="D47" s="58"/>
      <c r="E47" s="58"/>
      <c r="F47" s="58"/>
      <c r="G47" s="58"/>
      <c r="H47" s="58"/>
      <c r="I47" s="58"/>
    </row>
    <row r="48" spans="1:11" x14ac:dyDescent="0.25">
      <c r="A48" s="58"/>
      <c r="B48" s="58"/>
      <c r="C48" s="58"/>
      <c r="D48" s="58"/>
      <c r="E48" s="58"/>
      <c r="F48" s="58"/>
      <c r="G48" s="58"/>
      <c r="H48" s="58"/>
      <c r="I48" s="58"/>
    </row>
    <row r="49" spans="1:9" x14ac:dyDescent="0.25">
      <c r="A49" s="58"/>
      <c r="G49" s="58"/>
      <c r="H49" s="58"/>
      <c r="I49" s="58"/>
    </row>
  </sheetData>
  <mergeCells count="1">
    <mergeCell ref="B2:F2"/>
  </mergeCells>
  <pageMargins left="0.25" right="0.25" top="0.75" bottom="0.75" header="0.3" footer="0.3"/>
  <pageSetup scale="88" fitToHeight="0" orientation="landscape" cellComments="asDisplayed" r:id="rId1"/>
  <headerFooter>
    <oddFooter>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opLeftCell="G1" workbookViewId="0">
      <selection activeCell="Q19" sqref="Q19"/>
    </sheetView>
  </sheetViews>
  <sheetFormatPr defaultColWidth="9.109375" defaultRowHeight="13.2" x14ac:dyDescent="0.25"/>
  <cols>
    <col min="1" max="1" width="0" style="60" hidden="1" customWidth="1"/>
    <col min="2" max="2" width="32.88671875" style="60" hidden="1" customWidth="1"/>
    <col min="3" max="3" width="6" style="60" hidden="1" customWidth="1"/>
    <col min="4" max="6" width="14.5546875" style="60" hidden="1" customWidth="1"/>
    <col min="7" max="7" width="9.109375" style="60"/>
    <col min="8" max="8" width="32.44140625" style="60" customWidth="1"/>
    <col min="9" max="9" width="0.88671875" style="60" customWidth="1"/>
    <col min="10" max="10" width="10.5546875" style="60" customWidth="1"/>
    <col min="11" max="12" width="18.88671875" style="60" customWidth="1"/>
    <col min="13" max="16384" width="9.109375" style="60"/>
  </cols>
  <sheetData>
    <row r="1" spans="1:13" ht="13.05" thickBot="1" x14ac:dyDescent="0.3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3.5" thickBot="1" x14ac:dyDescent="0.35">
      <c r="A2" s="58"/>
      <c r="B2" s="722" t="s">
        <v>114</v>
      </c>
      <c r="C2" s="723"/>
      <c r="D2" s="723"/>
      <c r="E2" s="723"/>
      <c r="F2" s="724"/>
      <c r="G2" s="8"/>
      <c r="H2" s="745" t="s">
        <v>115</v>
      </c>
      <c r="I2" s="746"/>
      <c r="J2" s="723"/>
      <c r="K2" s="723"/>
      <c r="L2" s="724"/>
      <c r="M2" s="8"/>
    </row>
    <row r="3" spans="1:13" ht="13.5" thickBot="1" x14ac:dyDescent="0.35">
      <c r="A3" s="58"/>
      <c r="B3" s="76" t="s">
        <v>116</v>
      </c>
      <c r="C3" s="17"/>
      <c r="D3" s="18"/>
      <c r="E3" s="19" t="s">
        <v>107</v>
      </c>
      <c r="F3" s="20">
        <v>1322</v>
      </c>
      <c r="G3" s="9"/>
      <c r="H3" s="255" t="s">
        <v>117</v>
      </c>
      <c r="I3" s="55"/>
      <c r="J3" s="18"/>
      <c r="K3" s="19" t="s">
        <v>107</v>
      </c>
      <c r="L3" s="20">
        <v>1394</v>
      </c>
      <c r="M3" s="9"/>
    </row>
    <row r="4" spans="1:13" ht="13.05" x14ac:dyDescent="0.3">
      <c r="A4" s="58"/>
      <c r="B4" s="22"/>
      <c r="C4" s="23"/>
      <c r="D4" s="24" t="s">
        <v>33</v>
      </c>
      <c r="E4" s="24" t="s">
        <v>34</v>
      </c>
      <c r="F4" s="25" t="s">
        <v>35</v>
      </c>
      <c r="G4" s="10"/>
      <c r="H4" s="22"/>
      <c r="I4" s="23"/>
      <c r="J4" s="24" t="s">
        <v>33</v>
      </c>
      <c r="K4" s="24" t="s">
        <v>34</v>
      </c>
      <c r="L4" s="25" t="s">
        <v>35</v>
      </c>
      <c r="M4" s="10"/>
    </row>
    <row r="5" spans="1:13" ht="13.05" x14ac:dyDescent="0.3">
      <c r="A5" s="58"/>
      <c r="B5" s="26" t="str">
        <f>'Master Lookup'!B13</f>
        <v>Program Management</v>
      </c>
      <c r="C5" s="21"/>
      <c r="D5" s="489">
        <f>'Master Lookup'!C13</f>
        <v>66664</v>
      </c>
      <c r="E5" s="27">
        <v>0.05</v>
      </c>
      <c r="F5" s="28">
        <f>D5*E5</f>
        <v>3333.2000000000003</v>
      </c>
      <c r="G5" s="8"/>
      <c r="H5" s="534" t="str">
        <f>B5</f>
        <v>Program Management</v>
      </c>
      <c r="I5" s="204"/>
      <c r="J5" s="646">
        <f>'Master Lookup'!C13</f>
        <v>66664</v>
      </c>
      <c r="K5" s="647">
        <v>0.05</v>
      </c>
      <c r="L5" s="28">
        <f>J5*K5</f>
        <v>3333.2000000000003</v>
      </c>
      <c r="M5" s="8"/>
    </row>
    <row r="6" spans="1:13" ht="13.05" x14ac:dyDescent="0.3">
      <c r="A6" s="58"/>
      <c r="B6" s="534" t="str">
        <f>'Master Lookup'!B17</f>
        <v>Clinical  (LICSW)</v>
      </c>
      <c r="C6" s="204"/>
      <c r="D6" s="646">
        <f>'Master Lookup'!C17</f>
        <v>60923.199999999997</v>
      </c>
      <c r="E6" s="647">
        <v>0.1</v>
      </c>
      <c r="F6" s="28">
        <f>D6*E6</f>
        <v>6092.32</v>
      </c>
      <c r="G6" s="11"/>
      <c r="H6" s="534" t="str">
        <f>B6</f>
        <v>Clinical  (LICSW)</v>
      </c>
      <c r="I6" s="204"/>
      <c r="J6" s="646">
        <f>D6</f>
        <v>60923.199999999997</v>
      </c>
      <c r="K6" s="647">
        <v>0.1</v>
      </c>
      <c r="L6" s="28">
        <f>J6*K6</f>
        <v>6092.32</v>
      </c>
      <c r="M6" s="11"/>
    </row>
    <row r="7" spans="1:13" ht="13.05" x14ac:dyDescent="0.3">
      <c r="A7" s="58"/>
      <c r="B7" s="534" t="str">
        <f>'Master Lookup'!B18</f>
        <v>Clinician (MA Level)</v>
      </c>
      <c r="C7" s="204"/>
      <c r="D7" s="646">
        <f>'Master Lookup'!C18</f>
        <v>52665.599999999999</v>
      </c>
      <c r="E7" s="647">
        <v>1</v>
      </c>
      <c r="F7" s="28">
        <f>D7*E7</f>
        <v>52665.599999999999</v>
      </c>
      <c r="G7" s="11"/>
      <c r="H7" s="534" t="str">
        <f>'Master Lookup'!B20</f>
        <v>Direct Care III</v>
      </c>
      <c r="I7" s="204"/>
      <c r="J7" s="646">
        <f>'Master Lookup'!C20</f>
        <v>41516.800000000003</v>
      </c>
      <c r="K7" s="647">
        <v>1</v>
      </c>
      <c r="L7" s="28">
        <f>J7*K7</f>
        <v>41516.800000000003</v>
      </c>
      <c r="M7" s="11"/>
    </row>
    <row r="8" spans="1:13" ht="13.05" x14ac:dyDescent="0.3">
      <c r="A8" s="58"/>
      <c r="B8" s="534" t="str">
        <f>'Master Lookup'!B22</f>
        <v>Support Staffing</v>
      </c>
      <c r="C8" s="204"/>
      <c r="D8" s="646">
        <f>'Master Lookup'!C22</f>
        <v>32198.400000000001</v>
      </c>
      <c r="E8" s="648">
        <v>0.05</v>
      </c>
      <c r="F8" s="28">
        <f>D8*E8</f>
        <v>1609.92</v>
      </c>
      <c r="G8" s="11"/>
      <c r="H8" s="534" t="str">
        <f>B8</f>
        <v>Support Staffing</v>
      </c>
      <c r="I8" s="204"/>
      <c r="J8" s="646">
        <f>'Master Lookup'!C22</f>
        <v>32198.400000000001</v>
      </c>
      <c r="K8" s="648">
        <v>0.05</v>
      </c>
      <c r="L8" s="28">
        <f>J8*K8</f>
        <v>1609.92</v>
      </c>
      <c r="M8" s="11"/>
    </row>
    <row r="9" spans="1:13" ht="13.05" x14ac:dyDescent="0.3">
      <c r="A9" s="58"/>
      <c r="B9" s="649" t="s">
        <v>36</v>
      </c>
      <c r="C9" s="650"/>
      <c r="D9" s="650"/>
      <c r="E9" s="651">
        <f>SUM(E5:E8)</f>
        <v>1.2</v>
      </c>
      <c r="F9" s="33">
        <f>SUM(F5:F8)</f>
        <v>63701.039999999994</v>
      </c>
      <c r="G9" s="11"/>
      <c r="H9" s="649" t="s">
        <v>36</v>
      </c>
      <c r="I9" s="650"/>
      <c r="J9" s="650"/>
      <c r="K9" s="651">
        <f>SUM(K5:K8)</f>
        <v>1.2</v>
      </c>
      <c r="L9" s="33">
        <f>SUM(L5:L8)</f>
        <v>52552.240000000005</v>
      </c>
      <c r="M9" s="11"/>
    </row>
    <row r="10" spans="1:13" ht="12.45" x14ac:dyDescent="0.25">
      <c r="A10" s="58"/>
      <c r="B10" s="652"/>
      <c r="C10" s="204"/>
      <c r="D10" s="204"/>
      <c r="E10" s="204"/>
      <c r="F10" s="34"/>
      <c r="G10" s="59"/>
      <c r="H10" s="652"/>
      <c r="I10" s="204"/>
      <c r="J10" s="204"/>
      <c r="K10" s="204"/>
      <c r="L10" s="34"/>
      <c r="M10" s="59"/>
    </row>
    <row r="11" spans="1:13" ht="13.05" x14ac:dyDescent="0.3">
      <c r="A11" s="58"/>
      <c r="B11" s="653" t="s">
        <v>37</v>
      </c>
      <c r="C11" s="204"/>
      <c r="D11" s="204"/>
      <c r="E11" s="654" t="s">
        <v>38</v>
      </c>
      <c r="F11" s="34"/>
      <c r="G11" s="59"/>
      <c r="H11" s="653" t="s">
        <v>37</v>
      </c>
      <c r="I11" s="204"/>
      <c r="J11" s="204"/>
      <c r="K11" s="654" t="s">
        <v>38</v>
      </c>
      <c r="L11" s="34"/>
      <c r="M11" s="59"/>
    </row>
    <row r="12" spans="1:13" ht="12.45" x14ac:dyDescent="0.25">
      <c r="A12" s="58"/>
      <c r="B12" s="652" t="s">
        <v>14</v>
      </c>
      <c r="C12" s="204"/>
      <c r="D12" s="75">
        <f>'Master Lookup'!C30</f>
        <v>0.224</v>
      </c>
      <c r="E12" s="204"/>
      <c r="F12" s="28">
        <f>F9*D12</f>
        <v>14269.032959999999</v>
      </c>
      <c r="G12" s="11"/>
      <c r="H12" s="652" t="s">
        <v>14</v>
      </c>
      <c r="I12" s="204"/>
      <c r="J12" s="75">
        <f>D12</f>
        <v>0.224</v>
      </c>
      <c r="K12" s="204"/>
      <c r="L12" s="28">
        <f>L9*J12</f>
        <v>11771.701760000002</v>
      </c>
      <c r="M12" s="11"/>
    </row>
    <row r="13" spans="1:13" ht="13.05" x14ac:dyDescent="0.3">
      <c r="A13" s="58"/>
      <c r="B13" s="649" t="s">
        <v>39</v>
      </c>
      <c r="C13" s="650"/>
      <c r="D13" s="650"/>
      <c r="E13" s="655">
        <f>F13/F3</f>
        <v>58.978875158850222</v>
      </c>
      <c r="F13" s="33">
        <f>F12+F9</f>
        <v>77970.07295999999</v>
      </c>
      <c r="G13" s="11"/>
      <c r="H13" s="649" t="s">
        <v>39</v>
      </c>
      <c r="I13" s="650"/>
      <c r="J13" s="650"/>
      <c r="K13" s="655">
        <f>L13/L3</f>
        <v>46.143430243902444</v>
      </c>
      <c r="L13" s="33">
        <f>L12+L9</f>
        <v>64323.941760000009</v>
      </c>
      <c r="M13" s="11"/>
    </row>
    <row r="14" spans="1:13" ht="12.45" x14ac:dyDescent="0.25">
      <c r="A14" s="58"/>
      <c r="B14" s="652"/>
      <c r="C14" s="204"/>
      <c r="D14" s="204"/>
      <c r="E14" s="656" t="s">
        <v>40</v>
      </c>
      <c r="F14" s="28"/>
      <c r="G14" s="11"/>
      <c r="H14" s="652"/>
      <c r="I14" s="204"/>
      <c r="J14" s="204"/>
      <c r="K14" s="656" t="s">
        <v>40</v>
      </c>
      <c r="L14" s="28"/>
      <c r="M14" s="11"/>
    </row>
    <row r="15" spans="1:13" ht="12.45" x14ac:dyDescent="0.25">
      <c r="A15" s="58"/>
      <c r="B15" s="652" t="s">
        <v>23</v>
      </c>
      <c r="C15" s="204"/>
      <c r="D15" s="204"/>
      <c r="E15" s="657">
        <f>'Master Lookup'!C28</f>
        <v>5541.3168000000005</v>
      </c>
      <c r="F15" s="28">
        <f>E15*(E6+E7)</f>
        <v>6095.4484800000009</v>
      </c>
      <c r="G15" s="11"/>
      <c r="H15" s="652" t="s">
        <v>23</v>
      </c>
      <c r="I15" s="204"/>
      <c r="J15" s="204"/>
      <c r="K15" s="657">
        <f>'Master Lookup'!C28</f>
        <v>5541.3168000000005</v>
      </c>
      <c r="L15" s="28">
        <f>K15</f>
        <v>5541.3168000000005</v>
      </c>
      <c r="M15" s="11"/>
    </row>
    <row r="16" spans="1:13" ht="12.45" x14ac:dyDescent="0.25">
      <c r="A16" s="58"/>
      <c r="B16" s="652" t="s">
        <v>15</v>
      </c>
      <c r="C16" s="204"/>
      <c r="D16" s="204"/>
      <c r="E16" s="657">
        <f>'Master Lookup'!C25</f>
        <v>6983.3104000000003</v>
      </c>
      <c r="F16" s="28">
        <f>E16*E9</f>
        <v>8379.9724800000004</v>
      </c>
      <c r="G16" s="72"/>
      <c r="H16" s="652" t="s">
        <v>15</v>
      </c>
      <c r="I16" s="204"/>
      <c r="J16" s="204"/>
      <c r="K16" s="657">
        <f>'Master Lookup'!C25</f>
        <v>6983.3104000000003</v>
      </c>
      <c r="L16" s="28">
        <f>K16*K9</f>
        <v>8379.9724800000004</v>
      </c>
      <c r="M16" s="72"/>
    </row>
    <row r="17" spans="1:14" ht="12.45" x14ac:dyDescent="0.25">
      <c r="A17" s="58"/>
      <c r="B17" s="652" t="str">
        <f>'Master Lookup'!B29</f>
        <v>PFMLA</v>
      </c>
      <c r="C17" s="204"/>
      <c r="D17" s="204"/>
      <c r="E17" s="658">
        <f>'Master Lookup'!C29</f>
        <v>3.7000000000000002E-3</v>
      </c>
      <c r="F17" s="28">
        <f>F9*E17</f>
        <v>235.69384799999997</v>
      </c>
      <c r="G17" s="72"/>
      <c r="H17" s="652" t="str">
        <f>B17</f>
        <v>PFMLA</v>
      </c>
      <c r="I17" s="204"/>
      <c r="J17" s="204"/>
      <c r="K17" s="658">
        <f>E17</f>
        <v>3.7000000000000002E-3</v>
      </c>
      <c r="L17" s="28">
        <f>L9*K17</f>
        <v>194.44328800000002</v>
      </c>
      <c r="M17" s="72"/>
    </row>
    <row r="18" spans="1:14" ht="12.45" x14ac:dyDescent="0.25">
      <c r="A18" s="58"/>
      <c r="B18" s="652" t="s">
        <v>108</v>
      </c>
      <c r="C18" s="204"/>
      <c r="D18" s="204"/>
      <c r="E18" s="659">
        <f>'Master Lookup'!C26</f>
        <v>1250.2064</v>
      </c>
      <c r="F18" s="28">
        <f>E18*E9</f>
        <v>1500.2476799999999</v>
      </c>
      <c r="G18" s="72"/>
      <c r="H18" s="652" t="s">
        <v>108</v>
      </c>
      <c r="I18" s="204"/>
      <c r="J18" s="204"/>
      <c r="K18" s="659">
        <f>'Master Lookup'!C26</f>
        <v>1250.2064</v>
      </c>
      <c r="L18" s="28">
        <f>K18*K9</f>
        <v>1500.2476799999999</v>
      </c>
      <c r="M18" s="72"/>
    </row>
    <row r="19" spans="1:14" ht="13.05" x14ac:dyDescent="0.3">
      <c r="A19" s="58"/>
      <c r="B19" s="649" t="s">
        <v>41</v>
      </c>
      <c r="C19" s="650"/>
      <c r="D19" s="650"/>
      <c r="E19" s="650"/>
      <c r="F19" s="33">
        <f>SUM(F13:F18)</f>
        <v>94181.435447999989</v>
      </c>
      <c r="G19" s="72"/>
      <c r="H19" s="649" t="s">
        <v>41</v>
      </c>
      <c r="I19" s="650"/>
      <c r="J19" s="650"/>
      <c r="K19" s="650"/>
      <c r="L19" s="33">
        <f>SUM(L13:L18)</f>
        <v>79939.922008000009</v>
      </c>
      <c r="M19" s="72"/>
      <c r="N19" s="438"/>
    </row>
    <row r="20" spans="1:14" ht="12.45" x14ac:dyDescent="0.25">
      <c r="A20" s="58"/>
      <c r="B20" s="660" t="s">
        <v>42</v>
      </c>
      <c r="C20" s="661"/>
      <c r="D20" s="40">
        <f>'Master Lookup'!C31</f>
        <v>0.12</v>
      </c>
      <c r="E20" s="662"/>
      <c r="F20" s="42">
        <f>F19*D20</f>
        <v>11301.772253759998</v>
      </c>
      <c r="G20" s="11"/>
      <c r="H20" s="660" t="s">
        <v>42</v>
      </c>
      <c r="I20" s="661"/>
      <c r="J20" s="40">
        <f>'Master Lookup'!C31</f>
        <v>0.12</v>
      </c>
      <c r="K20" s="662"/>
      <c r="L20" s="42">
        <f>L19*J20</f>
        <v>9592.79064096</v>
      </c>
      <c r="M20" s="11"/>
    </row>
    <row r="21" spans="1:14" ht="13.5" thickBot="1" x14ac:dyDescent="0.35">
      <c r="A21" s="58"/>
      <c r="B21" s="663" t="s">
        <v>43</v>
      </c>
      <c r="C21" s="664"/>
      <c r="D21" s="664"/>
      <c r="E21" s="664"/>
      <c r="F21" s="423">
        <f>F19+F20</f>
        <v>105483.20770175999</v>
      </c>
      <c r="G21" s="12"/>
      <c r="H21" s="663" t="s">
        <v>43</v>
      </c>
      <c r="I21" s="664"/>
      <c r="J21" s="664"/>
      <c r="K21" s="664"/>
      <c r="L21" s="423">
        <f>L19+L20</f>
        <v>89532.712648960005</v>
      </c>
      <c r="M21" s="12"/>
    </row>
    <row r="22" spans="1:14" ht="13.95" thickTop="1" thickBot="1" x14ac:dyDescent="0.35">
      <c r="A22" s="58"/>
      <c r="B22" s="598" t="s">
        <v>296</v>
      </c>
      <c r="C22" s="669"/>
      <c r="D22" s="670">
        <f>'Master Lookup'!C35</f>
        <v>2.3997532813331963E-2</v>
      </c>
      <c r="E22" s="56"/>
      <c r="F22" s="423">
        <f>F21+(F21*D22)-(F9*D22)</f>
        <v>106485.87664219511</v>
      </c>
      <c r="G22" s="12"/>
      <c r="H22" s="668" t="str">
        <f>B22</f>
        <v>CAF  Period  (1/1/21- 12/31/22)</v>
      </c>
      <c r="I22" s="669"/>
      <c r="J22" s="670">
        <f>'Master Lookup'!C35</f>
        <v>2.3997532813331963E-2</v>
      </c>
      <c r="K22" s="56"/>
      <c r="L22" s="423">
        <f>L21+(L21*J22)-(L9*J22)</f>
        <v>90420.152754805938</v>
      </c>
      <c r="M22" s="443"/>
    </row>
    <row r="23" spans="1:14" ht="12.45" x14ac:dyDescent="0.25">
      <c r="A23" s="58"/>
      <c r="B23" s="671" t="s">
        <v>109</v>
      </c>
      <c r="C23" s="672"/>
      <c r="D23" s="672"/>
      <c r="E23" s="672"/>
      <c r="F23" s="433">
        <f>F22/F3+0.02</f>
        <v>80.56907461588132</v>
      </c>
      <c r="G23" s="10"/>
      <c r="H23" s="431" t="s">
        <v>109</v>
      </c>
      <c r="I23" s="432"/>
      <c r="J23" s="432"/>
      <c r="K23" s="432"/>
      <c r="L23" s="433">
        <f>L22/L3+0.02</f>
        <v>64.883811158397364</v>
      </c>
      <c r="M23" s="10"/>
      <c r="N23" s="245"/>
    </row>
    <row r="24" spans="1:14" ht="13.5" thickBot="1" x14ac:dyDescent="0.35">
      <c r="A24" s="58"/>
      <c r="B24" s="434" t="s">
        <v>113</v>
      </c>
      <c r="C24" s="435"/>
      <c r="D24" s="436"/>
      <c r="E24" s="435"/>
      <c r="F24" s="437">
        <f>F23*0.25</f>
        <v>20.14226865397033</v>
      </c>
      <c r="G24" s="13"/>
      <c r="H24" s="61" t="s">
        <v>119</v>
      </c>
      <c r="I24" s="62"/>
      <c r="J24" s="63"/>
      <c r="K24" s="429"/>
      <c r="L24" s="430">
        <f>L23*0.25</f>
        <v>16.220952789599341</v>
      </c>
      <c r="M24" s="13"/>
    </row>
    <row r="25" spans="1:14" ht="13.05" x14ac:dyDescent="0.3">
      <c r="A25" s="58"/>
      <c r="B25" s="59"/>
      <c r="C25" s="59"/>
      <c r="D25" s="59"/>
      <c r="E25" s="59" t="s">
        <v>299</v>
      </c>
      <c r="F25" s="427">
        <v>20.93</v>
      </c>
      <c r="G25" s="138"/>
      <c r="H25" s="138"/>
      <c r="I25" s="138"/>
      <c r="J25" s="138"/>
      <c r="K25" s="138"/>
      <c r="L25" s="428"/>
      <c r="M25" s="13"/>
      <c r="N25" s="438"/>
    </row>
    <row r="26" spans="1:14" ht="13.05" x14ac:dyDescent="0.3">
      <c r="A26" s="58"/>
      <c r="E26" s="67"/>
      <c r="F26" s="420">
        <f>(F24-F25)/F25</f>
        <v>-3.7636471382210691E-2</v>
      </c>
      <c r="G26" s="13"/>
      <c r="K26" s="67"/>
      <c r="L26" s="420"/>
      <c r="M26" s="13"/>
    </row>
    <row r="27" spans="1:14" ht="13.05" x14ac:dyDescent="0.3">
      <c r="E27" s="69"/>
      <c r="F27" s="70"/>
      <c r="G27" s="536"/>
      <c r="K27" s="69"/>
      <c r="L27" s="70"/>
    </row>
    <row r="29" spans="1:14" ht="12.45" x14ac:dyDescent="0.25">
      <c r="A29" s="58"/>
      <c r="B29" s="58"/>
      <c r="C29" s="58"/>
      <c r="D29" s="58"/>
      <c r="E29" s="58"/>
      <c r="F29" s="58"/>
      <c r="G29" s="13"/>
      <c r="H29" s="15"/>
      <c r="I29" s="15"/>
      <c r="J29" s="15"/>
      <c r="K29" s="15"/>
      <c r="L29" s="15"/>
      <c r="M29" s="13"/>
    </row>
    <row r="30" spans="1:14" ht="12.45" x14ac:dyDescent="0.25">
      <c r="A30" s="58"/>
      <c r="B30" s="58"/>
      <c r="C30" s="58"/>
      <c r="D30" s="58"/>
      <c r="E30" s="58"/>
      <c r="F30" s="58"/>
      <c r="G30" s="13"/>
      <c r="H30" s="10"/>
      <c r="I30" s="10"/>
      <c r="J30" s="10"/>
      <c r="K30" s="10"/>
      <c r="L30" s="10"/>
      <c r="M30" s="13"/>
    </row>
    <row r="31" spans="1:14" ht="14.55" x14ac:dyDescent="0.35">
      <c r="A31" s="58"/>
      <c r="B31" s="58"/>
      <c r="C31" s="58"/>
      <c r="D31" s="58"/>
      <c r="E31" s="58"/>
      <c r="F31" s="58"/>
      <c r="G31" s="13"/>
      <c r="H31" s="12"/>
      <c r="I31" s="12"/>
      <c r="J31" s="206"/>
      <c r="K31" s="12"/>
      <c r="L31" s="12"/>
      <c r="M31" s="13"/>
    </row>
    <row r="32" spans="1:14" ht="14.55" x14ac:dyDescent="0.35">
      <c r="A32" s="58"/>
      <c r="B32" s="58"/>
      <c r="C32" s="58"/>
      <c r="D32" s="58"/>
      <c r="E32" s="58"/>
      <c r="F32" s="58"/>
      <c r="G32" s="15"/>
      <c r="H32" s="10"/>
      <c r="I32" s="10"/>
      <c r="J32" s="205"/>
      <c r="K32" s="10"/>
      <c r="L32" s="10"/>
      <c r="M32" s="15"/>
    </row>
    <row r="33" spans="1:13" ht="14.55" x14ac:dyDescent="0.35">
      <c r="A33" s="58"/>
      <c r="B33" s="58"/>
      <c r="C33" s="58"/>
      <c r="D33" s="58"/>
      <c r="E33" s="58"/>
      <c r="F33" s="58"/>
      <c r="G33" s="10"/>
      <c r="H33" s="11"/>
      <c r="I33" s="11"/>
      <c r="J33" s="205"/>
      <c r="K33" s="11"/>
      <c r="L33" s="11"/>
      <c r="M33" s="10"/>
    </row>
    <row r="34" spans="1:13" ht="14.4" x14ac:dyDescent="0.3">
      <c r="A34" s="58"/>
      <c r="B34" s="58"/>
      <c r="C34" s="58"/>
      <c r="D34" s="58"/>
      <c r="E34" s="58"/>
      <c r="F34" s="58"/>
      <c r="G34" s="12"/>
      <c r="H34" s="11"/>
      <c r="I34" s="11"/>
      <c r="J34" s="205"/>
      <c r="K34" s="11"/>
      <c r="L34" s="11"/>
      <c r="M34" s="12"/>
    </row>
    <row r="35" spans="1:13" ht="13.2" customHeight="1" x14ac:dyDescent="0.3">
      <c r="A35" s="58"/>
      <c r="B35" s="58"/>
      <c r="C35" s="58"/>
      <c r="D35" s="58"/>
      <c r="E35" s="58"/>
      <c r="F35" s="58"/>
      <c r="G35" s="10"/>
      <c r="H35" s="10"/>
      <c r="I35" s="10"/>
      <c r="J35" s="205"/>
      <c r="K35" s="10"/>
      <c r="L35" s="10"/>
      <c r="M35" s="10"/>
    </row>
    <row r="36" spans="1:13" ht="14.4" x14ac:dyDescent="0.3">
      <c r="A36" s="71"/>
      <c r="B36" s="58"/>
      <c r="C36" s="58"/>
      <c r="D36" s="58"/>
      <c r="E36" s="58"/>
      <c r="F36" s="58"/>
      <c r="G36" s="11"/>
      <c r="H36" s="12"/>
      <c r="I36" s="12"/>
      <c r="J36" s="205"/>
      <c r="K36" s="12"/>
      <c r="L36" s="12"/>
      <c r="M36" s="11"/>
    </row>
    <row r="37" spans="1:13" ht="14.4" x14ac:dyDescent="0.3">
      <c r="A37" s="71"/>
      <c r="B37" s="58"/>
      <c r="C37" s="58"/>
      <c r="D37" s="58"/>
      <c r="E37" s="58"/>
      <c r="F37" s="58"/>
      <c r="G37" s="11"/>
      <c r="H37" s="10"/>
      <c r="I37" s="10"/>
      <c r="J37" s="205"/>
      <c r="K37" s="10"/>
      <c r="L37" s="10"/>
      <c r="M37" s="11"/>
    </row>
    <row r="38" spans="1:13" ht="14.4" x14ac:dyDescent="0.3">
      <c r="A38" s="71"/>
      <c r="B38" s="58"/>
      <c r="C38" s="58"/>
      <c r="D38" s="58"/>
      <c r="E38" s="58"/>
      <c r="F38" s="58"/>
      <c r="G38" s="10"/>
      <c r="H38" s="58"/>
      <c r="I38" s="58"/>
      <c r="J38" s="205"/>
      <c r="K38" s="58"/>
      <c r="L38" s="58"/>
      <c r="M38" s="10"/>
    </row>
    <row r="39" spans="1:13" x14ac:dyDescent="0.25">
      <c r="A39" s="71"/>
      <c r="B39" s="58"/>
      <c r="C39" s="58"/>
      <c r="D39" s="58"/>
      <c r="E39" s="58"/>
      <c r="F39" s="58"/>
      <c r="G39" s="12"/>
      <c r="H39" s="58"/>
      <c r="I39" s="58"/>
      <c r="J39" s="58"/>
      <c r="K39" s="58"/>
      <c r="L39" s="58"/>
      <c r="M39" s="12"/>
    </row>
    <row r="40" spans="1:13" x14ac:dyDescent="0.25">
      <c r="A40" s="71"/>
      <c r="B40" s="58"/>
      <c r="C40" s="58"/>
      <c r="D40" s="58"/>
      <c r="E40" s="58"/>
      <c r="F40" s="58"/>
      <c r="G40" s="10"/>
      <c r="H40" s="58"/>
      <c r="I40" s="58"/>
      <c r="J40" s="58"/>
      <c r="K40" s="58"/>
      <c r="L40" s="58"/>
      <c r="M40" s="10"/>
    </row>
    <row r="41" spans="1:13" x14ac:dyDescent="0.25">
      <c r="A41" s="71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1:13" x14ac:dyDescent="0.2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1:13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1:13" x14ac:dyDescent="0.2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1:13" x14ac:dyDescent="0.2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1:13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1:13" x14ac:dyDescent="0.25">
      <c r="A47" s="58"/>
      <c r="B47" s="59"/>
      <c r="C47" s="59"/>
      <c r="D47" s="59"/>
      <c r="E47" s="59"/>
      <c r="F47" s="59"/>
      <c r="G47" s="58"/>
      <c r="H47" s="58"/>
      <c r="I47" s="58"/>
      <c r="J47" s="58"/>
      <c r="K47" s="58"/>
      <c r="L47" s="58"/>
      <c r="M47" s="58"/>
    </row>
    <row r="48" spans="1:13" x14ac:dyDescent="0.25">
      <c r="A48" s="58"/>
      <c r="B48" s="59"/>
      <c r="C48" s="59"/>
      <c r="D48" s="59"/>
      <c r="E48" s="59"/>
      <c r="F48" s="59"/>
      <c r="G48" s="58"/>
      <c r="H48" s="57"/>
      <c r="I48" s="57"/>
      <c r="J48" s="57"/>
      <c r="K48" s="57"/>
      <c r="L48" s="57"/>
      <c r="M48" s="58"/>
    </row>
    <row r="49" spans="1:13" x14ac:dyDescent="0.25">
      <c r="A49" s="58"/>
      <c r="G49" s="58"/>
      <c r="M49" s="58"/>
    </row>
    <row r="50" spans="1:13" x14ac:dyDescent="0.25">
      <c r="A50" s="58"/>
      <c r="G50" s="58"/>
      <c r="M50" s="58"/>
    </row>
  </sheetData>
  <mergeCells count="2">
    <mergeCell ref="B2:F2"/>
    <mergeCell ref="H2:L2"/>
  </mergeCells>
  <pageMargins left="0.25" right="0.25" top="0.75" bottom="0.75" header="0.3" footer="0.3"/>
  <pageSetup scale="77" fitToHeight="0" orientation="landscape" cellComments="asDisplayed" r:id="rId1"/>
  <headerFooter>
    <oddFooter>&amp;A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36"/>
  <sheetViews>
    <sheetView topLeftCell="A4" zoomScaleNormal="100" workbookViewId="0">
      <selection activeCell="E10" sqref="E10"/>
    </sheetView>
  </sheetViews>
  <sheetFormatPr defaultRowHeight="14.4" x14ac:dyDescent="0.3"/>
  <cols>
    <col min="2" max="2" width="22.6640625" bestFit="1" customWidth="1"/>
    <col min="3" max="3" width="18.5546875" style="207" customWidth="1"/>
    <col min="4" max="4" width="39.88671875" style="207" customWidth="1"/>
    <col min="5" max="5" width="23" customWidth="1"/>
    <col min="6" max="6" width="22.6640625" bestFit="1" customWidth="1"/>
    <col min="7" max="7" width="17.44140625" customWidth="1"/>
    <col min="10" max="11" width="11.5546875" bestFit="1" customWidth="1"/>
    <col min="12" max="12" width="12" bestFit="1" customWidth="1"/>
  </cols>
  <sheetData>
    <row r="2" spans="2:14" ht="15" thickBot="1" x14ac:dyDescent="0.4">
      <c r="B2" s="379"/>
      <c r="C2" s="379" t="s">
        <v>227</v>
      </c>
      <c r="D2" s="379"/>
      <c r="E2" s="310"/>
      <c r="F2" s="310"/>
      <c r="G2" s="310"/>
    </row>
    <row r="3" spans="2:14" ht="15" thickBot="1" x14ac:dyDescent="0.4">
      <c r="B3" s="340" t="s">
        <v>0</v>
      </c>
      <c r="C3" s="318"/>
      <c r="D3" s="319"/>
      <c r="E3" s="709"/>
      <c r="F3" s="709"/>
      <c r="G3" s="311"/>
    </row>
    <row r="4" spans="2:14" ht="14.55" x14ac:dyDescent="0.35">
      <c r="B4" s="298"/>
      <c r="C4" s="320" t="s">
        <v>1</v>
      </c>
      <c r="D4" s="314" t="s">
        <v>2</v>
      </c>
      <c r="E4" s="309"/>
      <c r="F4" s="309"/>
      <c r="G4" s="312"/>
    </row>
    <row r="5" spans="2:14" ht="14.55" x14ac:dyDescent="0.35">
      <c r="B5" s="303" t="s">
        <v>3</v>
      </c>
      <c r="C5" s="300">
        <v>15</v>
      </c>
      <c r="D5" s="316">
        <f>C5*8</f>
        <v>120</v>
      </c>
      <c r="E5" s="309"/>
      <c r="F5" s="309"/>
      <c r="G5" s="312"/>
    </row>
    <row r="6" spans="2:14" ht="14.55" x14ac:dyDescent="0.35">
      <c r="B6" s="303" t="s">
        <v>4</v>
      </c>
      <c r="C6" s="300">
        <v>8</v>
      </c>
      <c r="D6" s="316">
        <f>C6*8</f>
        <v>64</v>
      </c>
      <c r="E6" s="309"/>
      <c r="F6" s="309"/>
      <c r="G6" s="312"/>
    </row>
    <row r="7" spans="2:14" ht="14.55" x14ac:dyDescent="0.35">
      <c r="B7" s="303" t="s">
        <v>5</v>
      </c>
      <c r="C7" s="300">
        <v>10</v>
      </c>
      <c r="D7" s="316">
        <f>C7*8</f>
        <v>80</v>
      </c>
      <c r="E7" s="309"/>
      <c r="F7" s="309"/>
      <c r="G7" s="312"/>
    </row>
    <row r="8" spans="2:14" ht="14.55" x14ac:dyDescent="0.35">
      <c r="B8" s="303" t="s">
        <v>6</v>
      </c>
      <c r="C8" s="300">
        <v>5</v>
      </c>
      <c r="D8" s="316">
        <f>C8*8</f>
        <v>40</v>
      </c>
      <c r="E8" s="309"/>
      <c r="F8" s="309"/>
      <c r="G8" s="312"/>
      <c r="J8" s="209"/>
      <c r="K8" s="710"/>
      <c r="L8" s="710"/>
      <c r="M8" s="710"/>
      <c r="N8" s="710"/>
    </row>
    <row r="9" spans="2:14" ht="14.55" x14ac:dyDescent="0.35">
      <c r="B9" s="749"/>
      <c r="C9" s="750" t="s">
        <v>7</v>
      </c>
      <c r="D9" s="316">
        <f>SUM(D5:D8)</f>
        <v>304</v>
      </c>
      <c r="E9" s="309"/>
      <c r="F9" s="309"/>
      <c r="G9" s="312"/>
      <c r="K9" s="208"/>
      <c r="L9" s="208"/>
      <c r="M9" s="208"/>
      <c r="N9" s="208"/>
    </row>
    <row r="10" spans="2:14" ht="15" thickBot="1" x14ac:dyDescent="0.4">
      <c r="B10" s="749"/>
      <c r="C10" s="750" t="s">
        <v>121</v>
      </c>
      <c r="D10" s="317">
        <f>D9/(52*40)</f>
        <v>0.14615384615384616</v>
      </c>
      <c r="E10" s="309"/>
      <c r="F10" s="309"/>
      <c r="G10" s="312"/>
      <c r="K10" s="297"/>
      <c r="L10" s="297"/>
      <c r="M10" s="297"/>
      <c r="N10" s="208"/>
    </row>
    <row r="11" spans="2:14" ht="15" thickBot="1" x14ac:dyDescent="0.4">
      <c r="B11" s="713" t="s">
        <v>226</v>
      </c>
      <c r="C11" s="751"/>
      <c r="D11" s="752" t="s">
        <v>223</v>
      </c>
      <c r="E11" s="302"/>
      <c r="F11" s="302"/>
      <c r="G11" s="302"/>
    </row>
    <row r="12" spans="2:14" ht="24" x14ac:dyDescent="0.3">
      <c r="B12" s="753" t="s">
        <v>8</v>
      </c>
      <c r="C12" s="343">
        <f>75528.6*(1+C34)</f>
        <v>77462.132160000008</v>
      </c>
      <c r="D12" s="754" t="s">
        <v>225</v>
      </c>
      <c r="E12" s="301"/>
      <c r="J12" s="243"/>
      <c r="K12" s="243"/>
      <c r="L12" s="243"/>
    </row>
    <row r="13" spans="2:14" x14ac:dyDescent="0.3">
      <c r="B13" s="303" t="s">
        <v>8</v>
      </c>
      <c r="C13" s="331">
        <f>65000*1.0256</f>
        <v>66664</v>
      </c>
      <c r="D13" s="754" t="s">
        <v>224</v>
      </c>
      <c r="E13" s="331"/>
    </row>
    <row r="14" spans="2:14" x14ac:dyDescent="0.3">
      <c r="B14" s="303" t="s">
        <v>9</v>
      </c>
      <c r="C14" s="331">
        <f>164929.8*(1+C34)</f>
        <v>169152.00287999999</v>
      </c>
      <c r="D14" s="754" t="s">
        <v>230</v>
      </c>
      <c r="E14" s="313"/>
      <c r="K14" s="243"/>
    </row>
    <row r="15" spans="2:14" x14ac:dyDescent="0.3">
      <c r="B15" s="303" t="s">
        <v>10</v>
      </c>
      <c r="C15" s="331">
        <f>Chart!C22</f>
        <v>119412.79999999999</v>
      </c>
      <c r="D15" s="754" t="s">
        <v>293</v>
      </c>
      <c r="E15" s="313"/>
    </row>
    <row r="16" spans="2:14" x14ac:dyDescent="0.3">
      <c r="B16" s="345" t="s">
        <v>11</v>
      </c>
      <c r="C16" s="331">
        <f>Chart!C20</f>
        <v>86860.800000000003</v>
      </c>
      <c r="D16" s="754" t="s">
        <v>293</v>
      </c>
      <c r="E16" s="313"/>
    </row>
    <row r="17" spans="2:11" x14ac:dyDescent="0.3">
      <c r="B17" s="305" t="s">
        <v>383</v>
      </c>
      <c r="C17" s="331">
        <f>Chart!C14</f>
        <v>60923.199999999997</v>
      </c>
      <c r="D17" s="754" t="s">
        <v>293</v>
      </c>
      <c r="E17" s="313"/>
    </row>
    <row r="18" spans="2:11" x14ac:dyDescent="0.3">
      <c r="B18" s="305" t="s">
        <v>18</v>
      </c>
      <c r="C18" s="331">
        <f>Chart!C12</f>
        <v>52665.599999999999</v>
      </c>
      <c r="D18" s="754" t="s">
        <v>293</v>
      </c>
      <c r="E18" s="313"/>
      <c r="K18" s="1"/>
    </row>
    <row r="19" spans="2:11" x14ac:dyDescent="0.3">
      <c r="B19" s="305" t="s">
        <v>464</v>
      </c>
      <c r="C19" s="331">
        <f>Chart!C4</f>
        <v>32198.400000000001</v>
      </c>
      <c r="D19" s="754" t="s">
        <v>293</v>
      </c>
      <c r="E19" s="313"/>
      <c r="K19" s="2"/>
    </row>
    <row r="20" spans="2:11" x14ac:dyDescent="0.3">
      <c r="B20" s="305" t="str">
        <f>Chart!B6</f>
        <v>Direct Care III</v>
      </c>
      <c r="C20" s="331">
        <f>Chart!C6</f>
        <v>41516.800000000003</v>
      </c>
      <c r="D20" s="754" t="s">
        <v>293</v>
      </c>
      <c r="E20" s="313"/>
      <c r="K20" s="2"/>
    </row>
    <row r="21" spans="2:11" x14ac:dyDescent="0.3">
      <c r="B21" s="305" t="str">
        <f>Chart!B4</f>
        <v>Direct Care</v>
      </c>
      <c r="C21" s="331">
        <f>Chart!C4</f>
        <v>32198.400000000001</v>
      </c>
      <c r="D21" s="754" t="s">
        <v>293</v>
      </c>
      <c r="E21" s="304"/>
      <c r="K21" s="2"/>
    </row>
    <row r="22" spans="2:11" ht="15" thickBot="1" x14ac:dyDescent="0.35">
      <c r="B22" s="755" t="s">
        <v>12</v>
      </c>
      <c r="C22" s="332">
        <f>Chart!C4</f>
        <v>32198.400000000001</v>
      </c>
      <c r="D22" s="754" t="s">
        <v>293</v>
      </c>
      <c r="E22" s="304"/>
      <c r="K22" s="2"/>
    </row>
    <row r="23" spans="2:11" ht="15" thickBot="1" x14ac:dyDescent="0.4">
      <c r="B23" s="713" t="s">
        <v>13</v>
      </c>
      <c r="C23" s="751"/>
      <c r="D23" s="338" t="s">
        <v>223</v>
      </c>
      <c r="E23" s="304"/>
      <c r="K23" s="2"/>
    </row>
    <row r="24" spans="2:11" ht="14.55" x14ac:dyDescent="0.35">
      <c r="B24" s="322" t="s">
        <v>26</v>
      </c>
      <c r="C24" s="333">
        <f>3393*(1+C34)</f>
        <v>3479.8608000000004</v>
      </c>
      <c r="D24" s="307"/>
      <c r="E24" s="306"/>
      <c r="K24" s="3"/>
    </row>
    <row r="25" spans="2:11" x14ac:dyDescent="0.3">
      <c r="B25" s="322" t="s">
        <v>15</v>
      </c>
      <c r="C25" s="333">
        <f>6809*(1+C34)</f>
        <v>6983.3104000000003</v>
      </c>
      <c r="D25" s="754" t="s">
        <v>27</v>
      </c>
      <c r="E25" s="306"/>
    </row>
    <row r="26" spans="2:11" x14ac:dyDescent="0.3">
      <c r="B26" s="322" t="s">
        <v>16</v>
      </c>
      <c r="C26" s="333">
        <f>1219*(1+C34)</f>
        <v>1250.2064</v>
      </c>
      <c r="D26" s="754"/>
      <c r="E26" s="306"/>
    </row>
    <row r="27" spans="2:11" x14ac:dyDescent="0.3">
      <c r="B27" s="322" t="s">
        <v>25</v>
      </c>
      <c r="C27" s="334">
        <f>18852*(1+C34)</f>
        <v>19334.611200000003</v>
      </c>
      <c r="D27" s="754" t="s">
        <v>24</v>
      </c>
      <c r="E27" s="306"/>
    </row>
    <row r="28" spans="2:11" x14ac:dyDescent="0.3">
      <c r="B28" s="322" t="s">
        <v>23</v>
      </c>
      <c r="C28" s="334">
        <f>5403*(1+C34)</f>
        <v>5541.3168000000005</v>
      </c>
      <c r="D28" s="754" t="s">
        <v>28</v>
      </c>
      <c r="E28" s="306"/>
    </row>
    <row r="29" spans="2:11" x14ac:dyDescent="0.3">
      <c r="B29" s="322" t="s">
        <v>295</v>
      </c>
      <c r="C29" s="397">
        <v>3.7000000000000002E-3</v>
      </c>
      <c r="D29" s="754" t="s">
        <v>298</v>
      </c>
      <c r="E29" s="306"/>
    </row>
    <row r="30" spans="2:11" x14ac:dyDescent="0.3">
      <c r="B30" s="322" t="s">
        <v>14</v>
      </c>
      <c r="C30" s="335">
        <v>0.224</v>
      </c>
      <c r="D30" s="754" t="s">
        <v>294</v>
      </c>
      <c r="E30" s="306"/>
    </row>
    <row r="31" spans="2:11" ht="15" thickBot="1" x14ac:dyDescent="0.35">
      <c r="B31" s="321" t="s">
        <v>22</v>
      </c>
      <c r="C31" s="336">
        <v>0.12</v>
      </c>
      <c r="D31" s="754" t="s">
        <v>384</v>
      </c>
      <c r="E31" s="306"/>
    </row>
    <row r="32" spans="2:11" ht="15" thickBot="1" x14ac:dyDescent="0.35">
      <c r="B32" s="756" t="s">
        <v>228</v>
      </c>
      <c r="C32" s="757"/>
      <c r="D32" s="758"/>
      <c r="E32" s="306"/>
    </row>
    <row r="33" spans="2:7" ht="15" thickBot="1" x14ac:dyDescent="0.35">
      <c r="B33" s="759"/>
      <c r="C33" s="760"/>
      <c r="D33" s="761"/>
      <c r="E33" s="306"/>
    </row>
    <row r="34" spans="2:7" ht="15" thickBot="1" x14ac:dyDescent="0.35">
      <c r="B34" s="762" t="s">
        <v>229</v>
      </c>
      <c r="C34" s="763">
        <v>2.5600000000000001E-2</v>
      </c>
      <c r="D34" s="326" t="s">
        <v>222</v>
      </c>
      <c r="G34" s="306"/>
    </row>
    <row r="35" spans="2:7" ht="15" thickBot="1" x14ac:dyDescent="0.35">
      <c r="B35" s="762" t="s">
        <v>292</v>
      </c>
      <c r="C35" s="763">
        <f>'CAF 2020 Spring '!BY38</f>
        <v>2.3997532813331963E-2</v>
      </c>
      <c r="D35" s="326" t="s">
        <v>297</v>
      </c>
    </row>
    <row r="36" spans="2:7" x14ac:dyDescent="0.3">
      <c r="D36" s="207" t="s">
        <v>118</v>
      </c>
    </row>
  </sheetData>
  <mergeCells count="5">
    <mergeCell ref="E3:F3"/>
    <mergeCell ref="K8:N8"/>
    <mergeCell ref="B32:D32"/>
    <mergeCell ref="B11:C11"/>
    <mergeCell ref="B23:C23"/>
  </mergeCells>
  <phoneticPr fontId="90" type="noConversion"/>
  <pageMargins left="0.25" right="0.25" top="0.75" bottom="0.75" header="0.3" footer="0.3"/>
  <pageSetup fitToHeight="0" orientation="portrait" cellComments="asDisplayed" r:id="rId1"/>
  <headerFooter>
    <oddFooter>&amp;A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9"/>
  <sheetViews>
    <sheetView topLeftCell="BK1" workbookViewId="0">
      <selection activeCell="CD19" sqref="CD19"/>
    </sheetView>
  </sheetViews>
  <sheetFormatPr defaultRowHeight="13.2" x14ac:dyDescent="0.25"/>
  <cols>
    <col min="1" max="1" width="38.44140625" style="382" customWidth="1"/>
    <col min="2" max="2" width="12.6640625" style="386" customWidth="1"/>
    <col min="3" max="67" width="7.6640625" style="382" customWidth="1"/>
    <col min="68" max="68" width="8.6640625" style="382" bestFit="1" customWidth="1"/>
    <col min="69" max="82" width="7.6640625" style="382" customWidth="1"/>
    <col min="83" max="256" width="8.6640625" style="382"/>
    <col min="257" max="257" width="38.44140625" style="382" customWidth="1"/>
    <col min="258" max="258" width="12.6640625" style="382" customWidth="1"/>
    <col min="259" max="323" width="7.6640625" style="382" customWidth="1"/>
    <col min="324" max="324" width="8.6640625" style="382" bestFit="1"/>
    <col min="325" max="338" width="7.6640625" style="382" customWidth="1"/>
    <col min="339" max="512" width="8.6640625" style="382"/>
    <col min="513" max="513" width="38.44140625" style="382" customWidth="1"/>
    <col min="514" max="514" width="12.6640625" style="382" customWidth="1"/>
    <col min="515" max="579" width="7.6640625" style="382" customWidth="1"/>
    <col min="580" max="580" width="8.6640625" style="382" bestFit="1"/>
    <col min="581" max="594" width="7.6640625" style="382" customWidth="1"/>
    <col min="595" max="768" width="8.6640625" style="382"/>
    <col min="769" max="769" width="38.44140625" style="382" customWidth="1"/>
    <col min="770" max="770" width="12.6640625" style="382" customWidth="1"/>
    <col min="771" max="835" width="7.6640625" style="382" customWidth="1"/>
    <col min="836" max="836" width="8.6640625" style="382" bestFit="1"/>
    <col min="837" max="850" width="7.6640625" style="382" customWidth="1"/>
    <col min="851" max="1024" width="8.6640625" style="382"/>
    <col min="1025" max="1025" width="38.44140625" style="382" customWidth="1"/>
    <col min="1026" max="1026" width="12.6640625" style="382" customWidth="1"/>
    <col min="1027" max="1091" width="7.6640625" style="382" customWidth="1"/>
    <col min="1092" max="1092" width="8.6640625" style="382" bestFit="1"/>
    <col min="1093" max="1106" width="7.6640625" style="382" customWidth="1"/>
    <col min="1107" max="1280" width="8.6640625" style="382"/>
    <col min="1281" max="1281" width="38.44140625" style="382" customWidth="1"/>
    <col min="1282" max="1282" width="12.6640625" style="382" customWidth="1"/>
    <col min="1283" max="1347" width="7.6640625" style="382" customWidth="1"/>
    <col min="1348" max="1348" width="8.6640625" style="382" bestFit="1"/>
    <col min="1349" max="1362" width="7.6640625" style="382" customWidth="1"/>
    <col min="1363" max="1536" width="8.6640625" style="382"/>
    <col min="1537" max="1537" width="38.44140625" style="382" customWidth="1"/>
    <col min="1538" max="1538" width="12.6640625" style="382" customWidth="1"/>
    <col min="1539" max="1603" width="7.6640625" style="382" customWidth="1"/>
    <col min="1604" max="1604" width="8.6640625" style="382" bestFit="1"/>
    <col min="1605" max="1618" width="7.6640625" style="382" customWidth="1"/>
    <col min="1619" max="1792" width="8.6640625" style="382"/>
    <col min="1793" max="1793" width="38.44140625" style="382" customWidth="1"/>
    <col min="1794" max="1794" width="12.6640625" style="382" customWidth="1"/>
    <col min="1795" max="1859" width="7.6640625" style="382" customWidth="1"/>
    <col min="1860" max="1860" width="8.6640625" style="382" bestFit="1"/>
    <col min="1861" max="1874" width="7.6640625" style="382" customWidth="1"/>
    <col min="1875" max="2048" width="8.6640625" style="382"/>
    <col min="2049" max="2049" width="38.44140625" style="382" customWidth="1"/>
    <col min="2050" max="2050" width="12.6640625" style="382" customWidth="1"/>
    <col min="2051" max="2115" width="7.6640625" style="382" customWidth="1"/>
    <col min="2116" max="2116" width="8.6640625" style="382" bestFit="1"/>
    <col min="2117" max="2130" width="7.6640625" style="382" customWidth="1"/>
    <col min="2131" max="2304" width="8.6640625" style="382"/>
    <col min="2305" max="2305" width="38.44140625" style="382" customWidth="1"/>
    <col min="2306" max="2306" width="12.6640625" style="382" customWidth="1"/>
    <col min="2307" max="2371" width="7.6640625" style="382" customWidth="1"/>
    <col min="2372" max="2372" width="8.6640625" style="382" bestFit="1"/>
    <col min="2373" max="2386" width="7.6640625" style="382" customWidth="1"/>
    <col min="2387" max="2560" width="8.6640625" style="382"/>
    <col min="2561" max="2561" width="38.44140625" style="382" customWidth="1"/>
    <col min="2562" max="2562" width="12.6640625" style="382" customWidth="1"/>
    <col min="2563" max="2627" width="7.6640625" style="382" customWidth="1"/>
    <col min="2628" max="2628" width="8.6640625" style="382" bestFit="1"/>
    <col min="2629" max="2642" width="7.6640625" style="382" customWidth="1"/>
    <col min="2643" max="2816" width="8.6640625" style="382"/>
    <col min="2817" max="2817" width="38.44140625" style="382" customWidth="1"/>
    <col min="2818" max="2818" width="12.6640625" style="382" customWidth="1"/>
    <col min="2819" max="2883" width="7.6640625" style="382" customWidth="1"/>
    <col min="2884" max="2884" width="8.6640625" style="382" bestFit="1"/>
    <col min="2885" max="2898" width="7.6640625" style="382" customWidth="1"/>
    <col min="2899" max="3072" width="8.6640625" style="382"/>
    <col min="3073" max="3073" width="38.44140625" style="382" customWidth="1"/>
    <col min="3074" max="3074" width="12.6640625" style="382" customWidth="1"/>
    <col min="3075" max="3139" width="7.6640625" style="382" customWidth="1"/>
    <col min="3140" max="3140" width="8.6640625" style="382" bestFit="1"/>
    <col min="3141" max="3154" width="7.6640625" style="382" customWidth="1"/>
    <col min="3155" max="3328" width="8.6640625" style="382"/>
    <col min="3329" max="3329" width="38.44140625" style="382" customWidth="1"/>
    <col min="3330" max="3330" width="12.6640625" style="382" customWidth="1"/>
    <col min="3331" max="3395" width="7.6640625" style="382" customWidth="1"/>
    <col min="3396" max="3396" width="8.6640625" style="382" bestFit="1"/>
    <col min="3397" max="3410" width="7.6640625" style="382" customWidth="1"/>
    <col min="3411" max="3584" width="8.6640625" style="382"/>
    <col min="3585" max="3585" width="38.44140625" style="382" customWidth="1"/>
    <col min="3586" max="3586" width="12.6640625" style="382" customWidth="1"/>
    <col min="3587" max="3651" width="7.6640625" style="382" customWidth="1"/>
    <col min="3652" max="3652" width="8.6640625" style="382" bestFit="1"/>
    <col min="3653" max="3666" width="7.6640625" style="382" customWidth="1"/>
    <col min="3667" max="3840" width="8.6640625" style="382"/>
    <col min="3841" max="3841" width="38.44140625" style="382" customWidth="1"/>
    <col min="3842" max="3842" width="12.6640625" style="382" customWidth="1"/>
    <col min="3843" max="3907" width="7.6640625" style="382" customWidth="1"/>
    <col min="3908" max="3908" width="8.6640625" style="382" bestFit="1"/>
    <col min="3909" max="3922" width="7.6640625" style="382" customWidth="1"/>
    <col min="3923" max="4096" width="8.6640625" style="382"/>
    <col min="4097" max="4097" width="38.44140625" style="382" customWidth="1"/>
    <col min="4098" max="4098" width="12.6640625" style="382" customWidth="1"/>
    <col min="4099" max="4163" width="7.6640625" style="382" customWidth="1"/>
    <col min="4164" max="4164" width="8.6640625" style="382" bestFit="1"/>
    <col min="4165" max="4178" width="7.6640625" style="382" customWidth="1"/>
    <col min="4179" max="4352" width="8.6640625" style="382"/>
    <col min="4353" max="4353" width="38.44140625" style="382" customWidth="1"/>
    <col min="4354" max="4354" width="12.6640625" style="382" customWidth="1"/>
    <col min="4355" max="4419" width="7.6640625" style="382" customWidth="1"/>
    <col min="4420" max="4420" width="8.6640625" style="382" bestFit="1"/>
    <col min="4421" max="4434" width="7.6640625" style="382" customWidth="1"/>
    <col min="4435" max="4608" width="8.6640625" style="382"/>
    <col min="4609" max="4609" width="38.44140625" style="382" customWidth="1"/>
    <col min="4610" max="4610" width="12.6640625" style="382" customWidth="1"/>
    <col min="4611" max="4675" width="7.6640625" style="382" customWidth="1"/>
    <col min="4676" max="4676" width="8.6640625" style="382" bestFit="1"/>
    <col min="4677" max="4690" width="7.6640625" style="382" customWidth="1"/>
    <col min="4691" max="4864" width="8.6640625" style="382"/>
    <col min="4865" max="4865" width="38.44140625" style="382" customWidth="1"/>
    <col min="4866" max="4866" width="12.6640625" style="382" customWidth="1"/>
    <col min="4867" max="4931" width="7.6640625" style="382" customWidth="1"/>
    <col min="4932" max="4932" width="8.6640625" style="382" bestFit="1"/>
    <col min="4933" max="4946" width="7.6640625" style="382" customWidth="1"/>
    <col min="4947" max="5120" width="8.6640625" style="382"/>
    <col min="5121" max="5121" width="38.44140625" style="382" customWidth="1"/>
    <col min="5122" max="5122" width="12.6640625" style="382" customWidth="1"/>
    <col min="5123" max="5187" width="7.6640625" style="382" customWidth="1"/>
    <col min="5188" max="5188" width="8.6640625" style="382" bestFit="1"/>
    <col min="5189" max="5202" width="7.6640625" style="382" customWidth="1"/>
    <col min="5203" max="5376" width="8.6640625" style="382"/>
    <col min="5377" max="5377" width="38.44140625" style="382" customWidth="1"/>
    <col min="5378" max="5378" width="12.6640625" style="382" customWidth="1"/>
    <col min="5379" max="5443" width="7.6640625" style="382" customWidth="1"/>
    <col min="5444" max="5444" width="8.6640625" style="382" bestFit="1"/>
    <col min="5445" max="5458" width="7.6640625" style="382" customWidth="1"/>
    <col min="5459" max="5632" width="8.6640625" style="382"/>
    <col min="5633" max="5633" width="38.44140625" style="382" customWidth="1"/>
    <col min="5634" max="5634" width="12.6640625" style="382" customWidth="1"/>
    <col min="5635" max="5699" width="7.6640625" style="382" customWidth="1"/>
    <col min="5700" max="5700" width="8.6640625" style="382" bestFit="1"/>
    <col min="5701" max="5714" width="7.6640625" style="382" customWidth="1"/>
    <col min="5715" max="5888" width="8.6640625" style="382"/>
    <col min="5889" max="5889" width="38.44140625" style="382" customWidth="1"/>
    <col min="5890" max="5890" width="12.6640625" style="382" customWidth="1"/>
    <col min="5891" max="5955" width="7.6640625" style="382" customWidth="1"/>
    <col min="5956" max="5956" width="8.6640625" style="382" bestFit="1"/>
    <col min="5957" max="5970" width="7.6640625" style="382" customWidth="1"/>
    <col min="5971" max="6144" width="8.6640625" style="382"/>
    <col min="6145" max="6145" width="38.44140625" style="382" customWidth="1"/>
    <col min="6146" max="6146" width="12.6640625" style="382" customWidth="1"/>
    <col min="6147" max="6211" width="7.6640625" style="382" customWidth="1"/>
    <col min="6212" max="6212" width="8.6640625" style="382" bestFit="1"/>
    <col min="6213" max="6226" width="7.6640625" style="382" customWidth="1"/>
    <col min="6227" max="6400" width="8.6640625" style="382"/>
    <col min="6401" max="6401" width="38.44140625" style="382" customWidth="1"/>
    <col min="6402" max="6402" width="12.6640625" style="382" customWidth="1"/>
    <col min="6403" max="6467" width="7.6640625" style="382" customWidth="1"/>
    <col min="6468" max="6468" width="8.6640625" style="382" bestFit="1"/>
    <col min="6469" max="6482" width="7.6640625" style="382" customWidth="1"/>
    <col min="6483" max="6656" width="8.6640625" style="382"/>
    <col min="6657" max="6657" width="38.44140625" style="382" customWidth="1"/>
    <col min="6658" max="6658" width="12.6640625" style="382" customWidth="1"/>
    <col min="6659" max="6723" width="7.6640625" style="382" customWidth="1"/>
    <col min="6724" max="6724" width="8.6640625" style="382" bestFit="1"/>
    <col min="6725" max="6738" width="7.6640625" style="382" customWidth="1"/>
    <col min="6739" max="6912" width="8.6640625" style="382"/>
    <col min="6913" max="6913" width="38.44140625" style="382" customWidth="1"/>
    <col min="6914" max="6914" width="12.6640625" style="382" customWidth="1"/>
    <col min="6915" max="6979" width="7.6640625" style="382" customWidth="1"/>
    <col min="6980" max="6980" width="8.6640625" style="382" bestFit="1"/>
    <col min="6981" max="6994" width="7.6640625" style="382" customWidth="1"/>
    <col min="6995" max="7168" width="8.6640625" style="382"/>
    <col min="7169" max="7169" width="38.44140625" style="382" customWidth="1"/>
    <col min="7170" max="7170" width="12.6640625" style="382" customWidth="1"/>
    <col min="7171" max="7235" width="7.6640625" style="382" customWidth="1"/>
    <col min="7236" max="7236" width="8.6640625" style="382" bestFit="1"/>
    <col min="7237" max="7250" width="7.6640625" style="382" customWidth="1"/>
    <col min="7251" max="7424" width="8.6640625" style="382"/>
    <col min="7425" max="7425" width="38.44140625" style="382" customWidth="1"/>
    <col min="7426" max="7426" width="12.6640625" style="382" customWidth="1"/>
    <col min="7427" max="7491" width="7.6640625" style="382" customWidth="1"/>
    <col min="7492" max="7492" width="8.6640625" style="382" bestFit="1"/>
    <col min="7493" max="7506" width="7.6640625" style="382" customWidth="1"/>
    <col min="7507" max="7680" width="8.6640625" style="382"/>
    <col min="7681" max="7681" width="38.44140625" style="382" customWidth="1"/>
    <col min="7682" max="7682" width="12.6640625" style="382" customWidth="1"/>
    <col min="7683" max="7747" width="7.6640625" style="382" customWidth="1"/>
    <col min="7748" max="7748" width="8.6640625" style="382" bestFit="1"/>
    <col min="7749" max="7762" width="7.6640625" style="382" customWidth="1"/>
    <col min="7763" max="7936" width="8.6640625" style="382"/>
    <col min="7937" max="7937" width="38.44140625" style="382" customWidth="1"/>
    <col min="7938" max="7938" width="12.6640625" style="382" customWidth="1"/>
    <col min="7939" max="8003" width="7.6640625" style="382" customWidth="1"/>
    <col min="8004" max="8004" width="8.6640625" style="382" bestFit="1"/>
    <col min="8005" max="8018" width="7.6640625" style="382" customWidth="1"/>
    <col min="8019" max="8192" width="8.6640625" style="382"/>
    <col min="8193" max="8193" width="38.44140625" style="382" customWidth="1"/>
    <col min="8194" max="8194" width="12.6640625" style="382" customWidth="1"/>
    <col min="8195" max="8259" width="7.6640625" style="382" customWidth="1"/>
    <col min="8260" max="8260" width="8.6640625" style="382" bestFit="1"/>
    <col min="8261" max="8274" width="7.6640625" style="382" customWidth="1"/>
    <col min="8275" max="8448" width="8.6640625" style="382"/>
    <col min="8449" max="8449" width="38.44140625" style="382" customWidth="1"/>
    <col min="8450" max="8450" width="12.6640625" style="382" customWidth="1"/>
    <col min="8451" max="8515" width="7.6640625" style="382" customWidth="1"/>
    <col min="8516" max="8516" width="8.6640625" style="382" bestFit="1"/>
    <col min="8517" max="8530" width="7.6640625" style="382" customWidth="1"/>
    <col min="8531" max="8704" width="8.6640625" style="382"/>
    <col min="8705" max="8705" width="38.44140625" style="382" customWidth="1"/>
    <col min="8706" max="8706" width="12.6640625" style="382" customWidth="1"/>
    <col min="8707" max="8771" width="7.6640625" style="382" customWidth="1"/>
    <col min="8772" max="8772" width="8.6640625" style="382" bestFit="1"/>
    <col min="8773" max="8786" width="7.6640625" style="382" customWidth="1"/>
    <col min="8787" max="8960" width="8.6640625" style="382"/>
    <col min="8961" max="8961" width="38.44140625" style="382" customWidth="1"/>
    <col min="8962" max="8962" width="12.6640625" style="382" customWidth="1"/>
    <col min="8963" max="9027" width="7.6640625" style="382" customWidth="1"/>
    <col min="9028" max="9028" width="8.6640625" style="382" bestFit="1"/>
    <col min="9029" max="9042" width="7.6640625" style="382" customWidth="1"/>
    <col min="9043" max="9216" width="8.6640625" style="382"/>
    <col min="9217" max="9217" width="38.44140625" style="382" customWidth="1"/>
    <col min="9218" max="9218" width="12.6640625" style="382" customWidth="1"/>
    <col min="9219" max="9283" width="7.6640625" style="382" customWidth="1"/>
    <col min="9284" max="9284" width="8.6640625" style="382" bestFit="1"/>
    <col min="9285" max="9298" width="7.6640625" style="382" customWidth="1"/>
    <col min="9299" max="9472" width="8.6640625" style="382"/>
    <col min="9473" max="9473" width="38.44140625" style="382" customWidth="1"/>
    <col min="9474" max="9474" width="12.6640625" style="382" customWidth="1"/>
    <col min="9475" max="9539" width="7.6640625" style="382" customWidth="1"/>
    <col min="9540" max="9540" width="8.6640625" style="382" bestFit="1"/>
    <col min="9541" max="9554" width="7.6640625" style="382" customWidth="1"/>
    <col min="9555" max="9728" width="8.6640625" style="382"/>
    <col min="9729" max="9729" width="38.44140625" style="382" customWidth="1"/>
    <col min="9730" max="9730" width="12.6640625" style="382" customWidth="1"/>
    <col min="9731" max="9795" width="7.6640625" style="382" customWidth="1"/>
    <col min="9796" max="9796" width="8.6640625" style="382" bestFit="1"/>
    <col min="9797" max="9810" width="7.6640625" style="382" customWidth="1"/>
    <col min="9811" max="9984" width="8.6640625" style="382"/>
    <col min="9985" max="9985" width="38.44140625" style="382" customWidth="1"/>
    <col min="9986" max="9986" width="12.6640625" style="382" customWidth="1"/>
    <col min="9987" max="10051" width="7.6640625" style="382" customWidth="1"/>
    <col min="10052" max="10052" width="8.6640625" style="382" bestFit="1"/>
    <col min="10053" max="10066" width="7.6640625" style="382" customWidth="1"/>
    <col min="10067" max="10240" width="8.6640625" style="382"/>
    <col min="10241" max="10241" width="38.44140625" style="382" customWidth="1"/>
    <col min="10242" max="10242" width="12.6640625" style="382" customWidth="1"/>
    <col min="10243" max="10307" width="7.6640625" style="382" customWidth="1"/>
    <col min="10308" max="10308" width="8.6640625" style="382" bestFit="1"/>
    <col min="10309" max="10322" width="7.6640625" style="382" customWidth="1"/>
    <col min="10323" max="10496" width="8.6640625" style="382"/>
    <col min="10497" max="10497" width="38.44140625" style="382" customWidth="1"/>
    <col min="10498" max="10498" width="12.6640625" style="382" customWidth="1"/>
    <col min="10499" max="10563" width="7.6640625" style="382" customWidth="1"/>
    <col min="10564" max="10564" width="8.6640625" style="382" bestFit="1"/>
    <col min="10565" max="10578" width="7.6640625" style="382" customWidth="1"/>
    <col min="10579" max="10752" width="8.6640625" style="382"/>
    <col min="10753" max="10753" width="38.44140625" style="382" customWidth="1"/>
    <col min="10754" max="10754" width="12.6640625" style="382" customWidth="1"/>
    <col min="10755" max="10819" width="7.6640625" style="382" customWidth="1"/>
    <col min="10820" max="10820" width="8.6640625" style="382" bestFit="1"/>
    <col min="10821" max="10834" width="7.6640625" style="382" customWidth="1"/>
    <col min="10835" max="11008" width="8.6640625" style="382"/>
    <col min="11009" max="11009" width="38.44140625" style="382" customWidth="1"/>
    <col min="11010" max="11010" width="12.6640625" style="382" customWidth="1"/>
    <col min="11011" max="11075" width="7.6640625" style="382" customWidth="1"/>
    <col min="11076" max="11076" width="8.6640625" style="382" bestFit="1"/>
    <col min="11077" max="11090" width="7.6640625" style="382" customWidth="1"/>
    <col min="11091" max="11264" width="8.6640625" style="382"/>
    <col min="11265" max="11265" width="38.44140625" style="382" customWidth="1"/>
    <col min="11266" max="11266" width="12.6640625" style="382" customWidth="1"/>
    <col min="11267" max="11331" width="7.6640625" style="382" customWidth="1"/>
    <col min="11332" max="11332" width="8.6640625" style="382" bestFit="1"/>
    <col min="11333" max="11346" width="7.6640625" style="382" customWidth="1"/>
    <col min="11347" max="11520" width="8.6640625" style="382"/>
    <col min="11521" max="11521" width="38.44140625" style="382" customWidth="1"/>
    <col min="11522" max="11522" width="12.6640625" style="382" customWidth="1"/>
    <col min="11523" max="11587" width="7.6640625" style="382" customWidth="1"/>
    <col min="11588" max="11588" width="8.6640625" style="382" bestFit="1"/>
    <col min="11589" max="11602" width="7.6640625" style="382" customWidth="1"/>
    <col min="11603" max="11776" width="8.6640625" style="382"/>
    <col min="11777" max="11777" width="38.44140625" style="382" customWidth="1"/>
    <col min="11778" max="11778" width="12.6640625" style="382" customWidth="1"/>
    <col min="11779" max="11843" width="7.6640625" style="382" customWidth="1"/>
    <col min="11844" max="11844" width="8.6640625" style="382" bestFit="1"/>
    <col min="11845" max="11858" width="7.6640625" style="382" customWidth="1"/>
    <col min="11859" max="12032" width="8.6640625" style="382"/>
    <col min="12033" max="12033" width="38.44140625" style="382" customWidth="1"/>
    <col min="12034" max="12034" width="12.6640625" style="382" customWidth="1"/>
    <col min="12035" max="12099" width="7.6640625" style="382" customWidth="1"/>
    <col min="12100" max="12100" width="8.6640625" style="382" bestFit="1"/>
    <col min="12101" max="12114" width="7.6640625" style="382" customWidth="1"/>
    <col min="12115" max="12288" width="8.6640625" style="382"/>
    <col min="12289" max="12289" width="38.44140625" style="382" customWidth="1"/>
    <col min="12290" max="12290" width="12.6640625" style="382" customWidth="1"/>
    <col min="12291" max="12355" width="7.6640625" style="382" customWidth="1"/>
    <col min="12356" max="12356" width="8.6640625" style="382" bestFit="1"/>
    <col min="12357" max="12370" width="7.6640625" style="382" customWidth="1"/>
    <col min="12371" max="12544" width="8.6640625" style="382"/>
    <col min="12545" max="12545" width="38.44140625" style="382" customWidth="1"/>
    <col min="12546" max="12546" width="12.6640625" style="382" customWidth="1"/>
    <col min="12547" max="12611" width="7.6640625" style="382" customWidth="1"/>
    <col min="12612" max="12612" width="8.6640625" style="382" bestFit="1"/>
    <col min="12613" max="12626" width="7.6640625" style="382" customWidth="1"/>
    <col min="12627" max="12800" width="8.6640625" style="382"/>
    <col min="12801" max="12801" width="38.44140625" style="382" customWidth="1"/>
    <col min="12802" max="12802" width="12.6640625" style="382" customWidth="1"/>
    <col min="12803" max="12867" width="7.6640625" style="382" customWidth="1"/>
    <col min="12868" max="12868" width="8.6640625" style="382" bestFit="1"/>
    <col min="12869" max="12882" width="7.6640625" style="382" customWidth="1"/>
    <col min="12883" max="13056" width="8.6640625" style="382"/>
    <col min="13057" max="13057" width="38.44140625" style="382" customWidth="1"/>
    <col min="13058" max="13058" width="12.6640625" style="382" customWidth="1"/>
    <col min="13059" max="13123" width="7.6640625" style="382" customWidth="1"/>
    <col min="13124" max="13124" width="8.6640625" style="382" bestFit="1"/>
    <col min="13125" max="13138" width="7.6640625" style="382" customWidth="1"/>
    <col min="13139" max="13312" width="8.6640625" style="382"/>
    <col min="13313" max="13313" width="38.44140625" style="382" customWidth="1"/>
    <col min="13314" max="13314" width="12.6640625" style="382" customWidth="1"/>
    <col min="13315" max="13379" width="7.6640625" style="382" customWidth="1"/>
    <col min="13380" max="13380" width="8.6640625" style="382" bestFit="1"/>
    <col min="13381" max="13394" width="7.6640625" style="382" customWidth="1"/>
    <col min="13395" max="13568" width="8.6640625" style="382"/>
    <col min="13569" max="13569" width="38.44140625" style="382" customWidth="1"/>
    <col min="13570" max="13570" width="12.6640625" style="382" customWidth="1"/>
    <col min="13571" max="13635" width="7.6640625" style="382" customWidth="1"/>
    <col min="13636" max="13636" width="8.6640625" style="382" bestFit="1"/>
    <col min="13637" max="13650" width="7.6640625" style="382" customWidth="1"/>
    <col min="13651" max="13824" width="8.6640625" style="382"/>
    <col min="13825" max="13825" width="38.44140625" style="382" customWidth="1"/>
    <col min="13826" max="13826" width="12.6640625" style="382" customWidth="1"/>
    <col min="13827" max="13891" width="7.6640625" style="382" customWidth="1"/>
    <col min="13892" max="13892" width="8.6640625" style="382" bestFit="1"/>
    <col min="13893" max="13906" width="7.6640625" style="382" customWidth="1"/>
    <col min="13907" max="14080" width="8.6640625" style="382"/>
    <col min="14081" max="14081" width="38.44140625" style="382" customWidth="1"/>
    <col min="14082" max="14082" width="12.6640625" style="382" customWidth="1"/>
    <col min="14083" max="14147" width="7.6640625" style="382" customWidth="1"/>
    <col min="14148" max="14148" width="8.6640625" style="382" bestFit="1"/>
    <col min="14149" max="14162" width="7.6640625" style="382" customWidth="1"/>
    <col min="14163" max="14336" width="8.6640625" style="382"/>
    <col min="14337" max="14337" width="38.44140625" style="382" customWidth="1"/>
    <col min="14338" max="14338" width="12.6640625" style="382" customWidth="1"/>
    <col min="14339" max="14403" width="7.6640625" style="382" customWidth="1"/>
    <col min="14404" max="14404" width="8.6640625" style="382" bestFit="1"/>
    <col min="14405" max="14418" width="7.6640625" style="382" customWidth="1"/>
    <col min="14419" max="14592" width="8.6640625" style="382"/>
    <col min="14593" max="14593" width="38.44140625" style="382" customWidth="1"/>
    <col min="14594" max="14594" width="12.6640625" style="382" customWidth="1"/>
    <col min="14595" max="14659" width="7.6640625" style="382" customWidth="1"/>
    <col min="14660" max="14660" width="8.6640625" style="382" bestFit="1"/>
    <col min="14661" max="14674" width="7.6640625" style="382" customWidth="1"/>
    <col min="14675" max="14848" width="8.6640625" style="382"/>
    <col min="14849" max="14849" width="38.44140625" style="382" customWidth="1"/>
    <col min="14850" max="14850" width="12.6640625" style="382" customWidth="1"/>
    <col min="14851" max="14915" width="7.6640625" style="382" customWidth="1"/>
    <col min="14916" max="14916" width="8.6640625" style="382" bestFit="1"/>
    <col min="14917" max="14930" width="7.6640625" style="382" customWidth="1"/>
    <col min="14931" max="15104" width="8.6640625" style="382"/>
    <col min="15105" max="15105" width="38.44140625" style="382" customWidth="1"/>
    <col min="15106" max="15106" width="12.6640625" style="382" customWidth="1"/>
    <col min="15107" max="15171" width="7.6640625" style="382" customWidth="1"/>
    <col min="15172" max="15172" width="8.6640625" style="382" bestFit="1"/>
    <col min="15173" max="15186" width="7.6640625" style="382" customWidth="1"/>
    <col min="15187" max="15360" width="8.6640625" style="382"/>
    <col min="15361" max="15361" width="38.44140625" style="382" customWidth="1"/>
    <col min="15362" max="15362" width="12.6640625" style="382" customWidth="1"/>
    <col min="15363" max="15427" width="7.6640625" style="382" customWidth="1"/>
    <col min="15428" max="15428" width="8.6640625" style="382" bestFit="1"/>
    <col min="15429" max="15442" width="7.6640625" style="382" customWidth="1"/>
    <col min="15443" max="15616" width="8.6640625" style="382"/>
    <col min="15617" max="15617" width="38.44140625" style="382" customWidth="1"/>
    <col min="15618" max="15618" width="12.6640625" style="382" customWidth="1"/>
    <col min="15619" max="15683" width="7.6640625" style="382" customWidth="1"/>
    <col min="15684" max="15684" width="8.6640625" style="382" bestFit="1"/>
    <col min="15685" max="15698" width="7.6640625" style="382" customWidth="1"/>
    <col min="15699" max="15872" width="8.6640625" style="382"/>
    <col min="15873" max="15873" width="38.44140625" style="382" customWidth="1"/>
    <col min="15874" max="15874" width="12.6640625" style="382" customWidth="1"/>
    <col min="15875" max="15939" width="7.6640625" style="382" customWidth="1"/>
    <col min="15940" max="15940" width="8.6640625" style="382" bestFit="1"/>
    <col min="15941" max="15954" width="7.6640625" style="382" customWidth="1"/>
    <col min="15955" max="16128" width="8.6640625" style="382"/>
    <col min="16129" max="16129" width="38.44140625" style="382" customWidth="1"/>
    <col min="16130" max="16130" width="12.6640625" style="382" customWidth="1"/>
    <col min="16131" max="16195" width="7.6640625" style="382" customWidth="1"/>
    <col min="16196" max="16196" width="8.6640625" style="382" bestFit="1"/>
    <col min="16197" max="16210" width="7.6640625" style="382" customWidth="1"/>
    <col min="16211" max="16384" width="8.6640625" style="382"/>
  </cols>
  <sheetData>
    <row r="1" spans="1:87" ht="18" x14ac:dyDescent="0.4">
      <c r="A1" s="380" t="s">
        <v>125</v>
      </c>
      <c r="B1" s="381"/>
    </row>
    <row r="2" spans="1:87" ht="15.45" x14ac:dyDescent="0.35">
      <c r="A2" s="445" t="s">
        <v>300</v>
      </c>
      <c r="B2" s="383"/>
    </row>
    <row r="3" spans="1:87" ht="14.55" thickBot="1" x14ac:dyDescent="0.35">
      <c r="A3" s="384" t="s">
        <v>127</v>
      </c>
      <c r="B3" s="385"/>
    </row>
    <row r="5" spans="1:87" ht="13.05" x14ac:dyDescent="0.3">
      <c r="BQ5" s="446">
        <v>44032</v>
      </c>
      <c r="BU5" s="446">
        <v>44033</v>
      </c>
      <c r="BY5" s="446">
        <v>44034</v>
      </c>
    </row>
    <row r="6" spans="1:87" ht="13.05" x14ac:dyDescent="0.3">
      <c r="BM6" s="263" t="s">
        <v>132</v>
      </c>
      <c r="BN6" s="263" t="s">
        <v>132</v>
      </c>
      <c r="BO6" s="263" t="s">
        <v>132</v>
      </c>
      <c r="BP6" s="263" t="s">
        <v>132</v>
      </c>
      <c r="BQ6" s="264" t="s">
        <v>133</v>
      </c>
      <c r="BR6" s="264" t="s">
        <v>133</v>
      </c>
      <c r="BS6" s="264" t="s">
        <v>133</v>
      </c>
      <c r="BT6" s="264" t="s">
        <v>133</v>
      </c>
      <c r="BU6" s="260" t="s">
        <v>278</v>
      </c>
      <c r="BV6" s="260" t="s">
        <v>278</v>
      </c>
      <c r="BW6" s="260" t="s">
        <v>278</v>
      </c>
      <c r="BX6" s="260" t="s">
        <v>278</v>
      </c>
      <c r="BY6" s="387" t="s">
        <v>279</v>
      </c>
      <c r="BZ6" s="387" t="s">
        <v>279</v>
      </c>
      <c r="CA6" s="387" t="s">
        <v>279</v>
      </c>
      <c r="CB6" s="387" t="s">
        <v>279</v>
      </c>
    </row>
    <row r="7" spans="1:87" s="386" customFormat="1" ht="13.05" x14ac:dyDescent="0.3">
      <c r="B7" s="386" t="s">
        <v>134</v>
      </c>
      <c r="C7" s="388" t="s">
        <v>135</v>
      </c>
      <c r="D7" s="388" t="s">
        <v>136</v>
      </c>
      <c r="E7" s="388" t="s">
        <v>137</v>
      </c>
      <c r="F7" s="388" t="s">
        <v>138</v>
      </c>
      <c r="G7" s="388" t="s">
        <v>139</v>
      </c>
      <c r="H7" s="388" t="s">
        <v>140</v>
      </c>
      <c r="I7" s="388" t="s">
        <v>141</v>
      </c>
      <c r="J7" s="388" t="s">
        <v>142</v>
      </c>
      <c r="K7" s="388" t="s">
        <v>143</v>
      </c>
      <c r="L7" s="388" t="s">
        <v>144</v>
      </c>
      <c r="M7" s="388" t="s">
        <v>145</v>
      </c>
      <c r="N7" s="388" t="s">
        <v>146</v>
      </c>
      <c r="O7" s="388" t="s">
        <v>147</v>
      </c>
      <c r="P7" s="388" t="s">
        <v>148</v>
      </c>
      <c r="Q7" s="388" t="s">
        <v>149</v>
      </c>
      <c r="R7" s="388" t="s">
        <v>150</v>
      </c>
      <c r="S7" s="388" t="s">
        <v>151</v>
      </c>
      <c r="T7" s="388" t="s">
        <v>152</v>
      </c>
      <c r="U7" s="388" t="s">
        <v>153</v>
      </c>
      <c r="V7" s="388" t="s">
        <v>154</v>
      </c>
      <c r="W7" s="388" t="s">
        <v>155</v>
      </c>
      <c r="X7" s="388" t="s">
        <v>156</v>
      </c>
      <c r="Y7" s="388" t="s">
        <v>157</v>
      </c>
      <c r="Z7" s="388" t="s">
        <v>158</v>
      </c>
      <c r="AA7" s="388" t="s">
        <v>159</v>
      </c>
      <c r="AB7" s="388" t="s">
        <v>160</v>
      </c>
      <c r="AC7" s="388" t="s">
        <v>161</v>
      </c>
      <c r="AD7" s="388" t="s">
        <v>162</v>
      </c>
      <c r="AE7" s="388" t="s">
        <v>163</v>
      </c>
      <c r="AF7" s="388" t="s">
        <v>164</v>
      </c>
      <c r="AG7" s="388" t="s">
        <v>165</v>
      </c>
      <c r="AH7" s="388" t="s">
        <v>166</v>
      </c>
      <c r="AI7" s="388" t="s">
        <v>167</v>
      </c>
      <c r="AJ7" s="388" t="s">
        <v>168</v>
      </c>
      <c r="AK7" s="388" t="s">
        <v>169</v>
      </c>
      <c r="AL7" s="388" t="s">
        <v>170</v>
      </c>
      <c r="AM7" s="388" t="s">
        <v>171</v>
      </c>
      <c r="AN7" s="388" t="s">
        <v>172</v>
      </c>
      <c r="AO7" s="388" t="s">
        <v>173</v>
      </c>
      <c r="AP7" s="388" t="s">
        <v>174</v>
      </c>
      <c r="AQ7" s="388" t="s">
        <v>175</v>
      </c>
      <c r="AR7" s="388" t="s">
        <v>176</v>
      </c>
      <c r="AS7" s="388" t="s">
        <v>177</v>
      </c>
      <c r="AT7" s="388" t="s">
        <v>178</v>
      </c>
      <c r="AU7" s="386" t="s">
        <v>179</v>
      </c>
      <c r="AV7" s="386" t="s">
        <v>180</v>
      </c>
      <c r="AW7" s="386" t="s">
        <v>181</v>
      </c>
      <c r="AX7" s="386" t="s">
        <v>182</v>
      </c>
      <c r="AY7" s="386" t="s">
        <v>183</v>
      </c>
      <c r="AZ7" s="386" t="s">
        <v>184</v>
      </c>
      <c r="BA7" s="386" t="s">
        <v>185</v>
      </c>
      <c r="BB7" s="386" t="s">
        <v>186</v>
      </c>
      <c r="BC7" s="386" t="s">
        <v>187</v>
      </c>
      <c r="BD7" s="386" t="s">
        <v>188</v>
      </c>
      <c r="BE7" s="386" t="s">
        <v>189</v>
      </c>
      <c r="BF7" s="386" t="s">
        <v>190</v>
      </c>
      <c r="BG7" s="386" t="s">
        <v>191</v>
      </c>
      <c r="BH7" s="386" t="s">
        <v>192</v>
      </c>
      <c r="BI7" s="386" t="s">
        <v>193</v>
      </c>
      <c r="BJ7" s="386" t="s">
        <v>194</v>
      </c>
      <c r="BK7" s="386" t="s">
        <v>195</v>
      </c>
      <c r="BL7" s="386" t="s">
        <v>196</v>
      </c>
      <c r="BM7" s="386" t="s">
        <v>197</v>
      </c>
      <c r="BN7" s="386" t="s">
        <v>198</v>
      </c>
      <c r="BO7" s="386" t="s">
        <v>199</v>
      </c>
      <c r="BP7" s="386" t="s">
        <v>200</v>
      </c>
      <c r="BQ7" s="386" t="s">
        <v>201</v>
      </c>
      <c r="BR7" s="386" t="s">
        <v>202</v>
      </c>
      <c r="BS7" s="386" t="s">
        <v>203</v>
      </c>
      <c r="BT7" s="386" t="s">
        <v>204</v>
      </c>
      <c r="BU7" s="386" t="s">
        <v>205</v>
      </c>
      <c r="BV7" s="386" t="s">
        <v>206</v>
      </c>
      <c r="BW7" s="386" t="s">
        <v>280</v>
      </c>
      <c r="BX7" s="386" t="s">
        <v>281</v>
      </c>
      <c r="BY7" s="386" t="s">
        <v>282</v>
      </c>
      <c r="BZ7" s="386" t="s">
        <v>283</v>
      </c>
      <c r="CA7" s="386" t="s">
        <v>284</v>
      </c>
      <c r="CB7" s="386" t="s">
        <v>285</v>
      </c>
      <c r="CC7" s="386" t="s">
        <v>286</v>
      </c>
      <c r="CD7" s="386" t="s">
        <v>287</v>
      </c>
      <c r="CE7" s="386" t="s">
        <v>288</v>
      </c>
      <c r="CF7" s="386" t="s">
        <v>289</v>
      </c>
      <c r="CG7" s="386" t="s">
        <v>290</v>
      </c>
      <c r="CH7" s="386" t="s">
        <v>291</v>
      </c>
      <c r="CI7" s="386" t="s">
        <v>207</v>
      </c>
    </row>
    <row r="8" spans="1:87" ht="13.05" x14ac:dyDescent="0.3">
      <c r="A8" s="386" t="s">
        <v>208</v>
      </c>
      <c r="B8" s="386" t="s">
        <v>209</v>
      </c>
      <c r="C8" s="389">
        <v>2.0346113979326601</v>
      </c>
      <c r="D8" s="389">
        <v>2.0596527307169299</v>
      </c>
      <c r="E8" s="389">
        <v>2.0647060376300099</v>
      </c>
      <c r="F8" s="389">
        <v>2.0867602850429501</v>
      </c>
      <c r="G8" s="389">
        <v>2.10441482217594</v>
      </c>
      <c r="H8" s="389">
        <v>2.11471520481305</v>
      </c>
      <c r="I8" s="389">
        <v>2.1510993421160198</v>
      </c>
      <c r="J8" s="389">
        <v>2.1700303498167899</v>
      </c>
      <c r="K8" s="389">
        <v>2.1872092285050102</v>
      </c>
      <c r="L8" s="389">
        <v>2.2125396597183</v>
      </c>
      <c r="M8" s="389">
        <v>2.2351373991849601</v>
      </c>
      <c r="N8" s="389">
        <v>2.22048181639967</v>
      </c>
      <c r="O8" s="389">
        <v>2.2320116322918802</v>
      </c>
      <c r="P8" s="389">
        <v>2.25830972721704</v>
      </c>
      <c r="Q8" s="389">
        <v>2.27564533893606</v>
      </c>
      <c r="R8" s="389">
        <v>2.3021267451182101</v>
      </c>
      <c r="S8" s="389">
        <v>2.3193678221698799</v>
      </c>
      <c r="T8" s="389">
        <v>2.3630887401329401</v>
      </c>
      <c r="U8" s="389">
        <v>2.4040183268764199</v>
      </c>
      <c r="V8" s="389">
        <v>2.3508869392328702</v>
      </c>
      <c r="W8" s="389">
        <v>2.3397875662991998</v>
      </c>
      <c r="X8" s="389">
        <v>2.3463321773464698</v>
      </c>
      <c r="Y8" s="389">
        <v>2.3660208299322401</v>
      </c>
      <c r="Z8" s="389">
        <v>2.38072555635337</v>
      </c>
      <c r="AA8" s="389">
        <v>2.3786814788333301</v>
      </c>
      <c r="AB8" s="389">
        <v>2.3833628185945601</v>
      </c>
      <c r="AC8" s="389">
        <v>2.39782738150081</v>
      </c>
      <c r="AD8" s="389">
        <v>2.4216832770124701</v>
      </c>
      <c r="AE8" s="389">
        <v>2.4317461490191898</v>
      </c>
      <c r="AF8" s="389">
        <v>2.4769476627146898</v>
      </c>
      <c r="AG8" s="389">
        <v>2.4884783993884501</v>
      </c>
      <c r="AH8" s="389">
        <v>2.4969456869742301</v>
      </c>
      <c r="AI8" s="389">
        <v>2.5131764836174102</v>
      </c>
      <c r="AJ8" s="389">
        <v>2.5194129138440999</v>
      </c>
      <c r="AK8" s="389">
        <v>2.5296022010905101</v>
      </c>
      <c r="AL8" s="389">
        <v>2.55014674095177</v>
      </c>
      <c r="AM8" s="389">
        <v>2.55727771276656</v>
      </c>
      <c r="AN8" s="389">
        <v>2.5546180799215898</v>
      </c>
      <c r="AO8" s="389">
        <v>2.5737223597019399</v>
      </c>
      <c r="AP8" s="389">
        <v>2.5882577711185202</v>
      </c>
      <c r="AQ8" s="389">
        <v>2.59690193466492</v>
      </c>
      <c r="AR8" s="389">
        <v>2.60782686879682</v>
      </c>
      <c r="AS8" s="389">
        <v>2.6142506250731801</v>
      </c>
      <c r="AT8" s="389">
        <v>2.61661513719574</v>
      </c>
      <c r="AU8" s="389">
        <v>2.61186751422043</v>
      </c>
      <c r="AV8" s="389">
        <v>2.6225716857565202</v>
      </c>
      <c r="AW8" s="389">
        <v>2.61918012339319</v>
      </c>
      <c r="AX8" s="389">
        <v>2.62606071140064</v>
      </c>
      <c r="AY8" s="389">
        <v>2.6197019660963399</v>
      </c>
      <c r="AZ8" s="389">
        <v>2.6412980148257699</v>
      </c>
      <c r="BA8" s="389">
        <v>2.6622434334046901</v>
      </c>
      <c r="BB8" s="389">
        <v>2.67697032006182</v>
      </c>
      <c r="BC8" s="389">
        <v>2.69098591634374</v>
      </c>
      <c r="BD8" s="389">
        <v>2.6945884256758399</v>
      </c>
      <c r="BE8" s="389">
        <v>2.7069727936502899</v>
      </c>
      <c r="BF8" s="389">
        <v>2.72016803750495</v>
      </c>
      <c r="BG8" s="389">
        <v>2.7569818623248801</v>
      </c>
      <c r="BH8" s="389">
        <v>2.7703481242308801</v>
      </c>
      <c r="BI8" s="389">
        <v>2.7761821562378302</v>
      </c>
      <c r="BJ8" s="389">
        <v>2.7882443573554299</v>
      </c>
      <c r="BK8" s="389">
        <v>2.8008154324344998</v>
      </c>
      <c r="BL8" s="389">
        <v>2.8122629827835901</v>
      </c>
      <c r="BM8" s="389">
        <v>2.82670971159797</v>
      </c>
      <c r="BN8" s="389">
        <v>2.8407624221418502</v>
      </c>
      <c r="BO8" s="389">
        <v>2.8524451414889902</v>
      </c>
      <c r="BP8" s="389">
        <v>2.8068865147183502</v>
      </c>
      <c r="BQ8" s="389">
        <v>2.8339048270665099</v>
      </c>
      <c r="BR8" s="389">
        <v>2.8566125197244001</v>
      </c>
      <c r="BS8" s="389">
        <v>2.8745779629897301</v>
      </c>
      <c r="BT8" s="389">
        <v>2.8911172906433</v>
      </c>
      <c r="BU8" s="389">
        <v>2.9074342618909101</v>
      </c>
      <c r="BV8" s="389">
        <v>2.92404361040869</v>
      </c>
      <c r="BW8" s="389">
        <v>2.9454748618216899</v>
      </c>
      <c r="BX8" s="389">
        <v>2.96736156173443</v>
      </c>
      <c r="BY8" s="389">
        <v>2.9925924601287002</v>
      </c>
      <c r="BZ8" s="389">
        <v>3.01635537634772</v>
      </c>
      <c r="CA8" s="389">
        <v>3.0377905218009502</v>
      </c>
      <c r="CB8" s="389">
        <v>3.05548519662897</v>
      </c>
      <c r="CC8" s="389">
        <v>3.07379933713599</v>
      </c>
      <c r="CD8" s="389">
        <v>3.09268940817564</v>
      </c>
      <c r="CE8" s="389">
        <v>3.1120001257908299</v>
      </c>
      <c r="CF8" s="389">
        <v>3.1321186158587802</v>
      </c>
      <c r="CG8" s="389">
        <v>3.1520557224454402</v>
      </c>
      <c r="CH8" s="389">
        <v>3.1715827744427898</v>
      </c>
    </row>
    <row r="9" spans="1:87" ht="13.05" x14ac:dyDescent="0.3">
      <c r="A9" s="386" t="s">
        <v>210</v>
      </c>
      <c r="B9" s="386" t="s">
        <v>211</v>
      </c>
      <c r="C9" s="389">
        <v>2.0346113979326601</v>
      </c>
      <c r="D9" s="389">
        <v>2.0596527307169299</v>
      </c>
      <c r="E9" s="389">
        <v>2.0647060376300099</v>
      </c>
      <c r="F9" s="389">
        <v>2.0867602850429501</v>
      </c>
      <c r="G9" s="389">
        <v>2.10441482217594</v>
      </c>
      <c r="H9" s="389">
        <v>2.11471520481305</v>
      </c>
      <c r="I9" s="389">
        <v>2.1510993421160198</v>
      </c>
      <c r="J9" s="389">
        <v>2.1700303498167899</v>
      </c>
      <c r="K9" s="389">
        <v>2.1872092285050102</v>
      </c>
      <c r="L9" s="389">
        <v>2.2125396597183</v>
      </c>
      <c r="M9" s="389">
        <v>2.2351373991849601</v>
      </c>
      <c r="N9" s="389">
        <v>2.22048181639967</v>
      </c>
      <c r="O9" s="389">
        <v>2.2320116322918802</v>
      </c>
      <c r="P9" s="389">
        <v>2.25830972721704</v>
      </c>
      <c r="Q9" s="389">
        <v>2.27564533893606</v>
      </c>
      <c r="R9" s="389">
        <v>2.3021267451182101</v>
      </c>
      <c r="S9" s="389">
        <v>2.3193678221698799</v>
      </c>
      <c r="T9" s="389">
        <v>2.3630887401329401</v>
      </c>
      <c r="U9" s="389">
        <v>2.4040183268764199</v>
      </c>
      <c r="V9" s="389">
        <v>2.3508869392328702</v>
      </c>
      <c r="W9" s="389">
        <v>2.3397875662991998</v>
      </c>
      <c r="X9" s="389">
        <v>2.3463321773464698</v>
      </c>
      <c r="Y9" s="389">
        <v>2.3660208299322401</v>
      </c>
      <c r="Z9" s="389">
        <v>2.38072555635337</v>
      </c>
      <c r="AA9" s="389">
        <v>2.3786814788333301</v>
      </c>
      <c r="AB9" s="389">
        <v>2.3833628185945601</v>
      </c>
      <c r="AC9" s="389">
        <v>2.39782738150081</v>
      </c>
      <c r="AD9" s="389">
        <v>2.4216832770124701</v>
      </c>
      <c r="AE9" s="389">
        <v>2.4317461490191898</v>
      </c>
      <c r="AF9" s="389">
        <v>2.4769476627146898</v>
      </c>
      <c r="AG9" s="389">
        <v>2.4884783993884501</v>
      </c>
      <c r="AH9" s="389">
        <v>2.4969456869742301</v>
      </c>
      <c r="AI9" s="389">
        <v>2.5131764836174102</v>
      </c>
      <c r="AJ9" s="389">
        <v>2.5194129138440999</v>
      </c>
      <c r="AK9" s="389">
        <v>2.5296022010905101</v>
      </c>
      <c r="AL9" s="389">
        <v>2.55014674095177</v>
      </c>
      <c r="AM9" s="389">
        <v>2.55727771276656</v>
      </c>
      <c r="AN9" s="389">
        <v>2.5546180799215898</v>
      </c>
      <c r="AO9" s="389">
        <v>2.5737223597019399</v>
      </c>
      <c r="AP9" s="389">
        <v>2.5882577711185202</v>
      </c>
      <c r="AQ9" s="389">
        <v>2.59690193466492</v>
      </c>
      <c r="AR9" s="389">
        <v>2.60782686879682</v>
      </c>
      <c r="AS9" s="389">
        <v>2.6142506250731801</v>
      </c>
      <c r="AT9" s="389">
        <v>2.61661513719574</v>
      </c>
      <c r="AU9" s="389">
        <v>2.61186751422043</v>
      </c>
      <c r="AV9" s="389">
        <v>2.6225716857565202</v>
      </c>
      <c r="AW9" s="389">
        <v>2.61918012339319</v>
      </c>
      <c r="AX9" s="389">
        <v>2.62606071140064</v>
      </c>
      <c r="AY9" s="389">
        <v>2.6197019660963399</v>
      </c>
      <c r="AZ9" s="389">
        <v>2.6412980148257699</v>
      </c>
      <c r="BA9" s="389">
        <v>2.6622434334046901</v>
      </c>
      <c r="BB9" s="389">
        <v>2.67697032006182</v>
      </c>
      <c r="BC9" s="389">
        <v>2.69098591634374</v>
      </c>
      <c r="BD9" s="389">
        <v>2.6945884256758399</v>
      </c>
      <c r="BE9" s="389">
        <v>2.7069727936502899</v>
      </c>
      <c r="BF9" s="389">
        <v>2.72016803750495</v>
      </c>
      <c r="BG9" s="389">
        <v>2.7569818623248801</v>
      </c>
      <c r="BH9" s="389">
        <v>2.7703481242308801</v>
      </c>
      <c r="BI9" s="389">
        <v>2.7761821562378302</v>
      </c>
      <c r="BJ9" s="389">
        <v>2.7882443573554299</v>
      </c>
      <c r="BK9" s="389">
        <v>2.8008154324344998</v>
      </c>
      <c r="BL9" s="389">
        <v>2.8122629827835901</v>
      </c>
      <c r="BM9" s="389">
        <v>2.82670971159797</v>
      </c>
      <c r="BN9" s="389">
        <v>2.8407624221418502</v>
      </c>
      <c r="BO9" s="389">
        <v>2.8524451414889902</v>
      </c>
      <c r="BP9" s="389">
        <v>2.80644220004117</v>
      </c>
      <c r="BQ9" s="389">
        <v>2.8323709005287001</v>
      </c>
      <c r="BR9" s="389">
        <v>2.85398956919206</v>
      </c>
      <c r="BS9" s="389">
        <v>2.8700303924208002</v>
      </c>
      <c r="BT9" s="389">
        <v>2.8838098646244399</v>
      </c>
      <c r="BU9" s="389">
        <v>2.8968176179723701</v>
      </c>
      <c r="BV9" s="389">
        <v>2.9092049316234001</v>
      </c>
      <c r="BW9" s="389">
        <v>2.9265506996353499</v>
      </c>
      <c r="BX9" s="389">
        <v>2.9443745988331602</v>
      </c>
      <c r="BY9" s="389">
        <v>2.9651786217835299</v>
      </c>
      <c r="BZ9" s="389">
        <v>2.9838594933281799</v>
      </c>
      <c r="CA9" s="389">
        <v>3.0004851735891398</v>
      </c>
      <c r="CB9" s="389">
        <v>3.0141350706701502</v>
      </c>
      <c r="CC9" s="389">
        <v>3.0284008430292801</v>
      </c>
      <c r="CD9" s="389">
        <v>3.0439394581224799</v>
      </c>
      <c r="CE9" s="389">
        <v>3.0595038838406201</v>
      </c>
      <c r="CF9" s="389">
        <v>3.0759187718440302</v>
      </c>
      <c r="CG9" s="389">
        <v>3.0922660360272798</v>
      </c>
      <c r="CH9" s="389">
        <v>3.1079967617811901</v>
      </c>
    </row>
    <row r="10" spans="1:87" ht="13.05" x14ac:dyDescent="0.3">
      <c r="A10" s="386" t="s">
        <v>212</v>
      </c>
      <c r="B10" s="386" t="s">
        <v>213</v>
      </c>
      <c r="C10" s="389">
        <v>2.0346113979326601</v>
      </c>
      <c r="D10" s="389">
        <v>2.0596527307169299</v>
      </c>
      <c r="E10" s="389">
        <v>2.0647060376300099</v>
      </c>
      <c r="F10" s="389">
        <v>2.0867602850429501</v>
      </c>
      <c r="G10" s="389">
        <v>2.10441482217594</v>
      </c>
      <c r="H10" s="389">
        <v>2.11471520481305</v>
      </c>
      <c r="I10" s="389">
        <v>2.1510993421160198</v>
      </c>
      <c r="J10" s="389">
        <v>2.1700303498167899</v>
      </c>
      <c r="K10" s="389">
        <v>2.1872092285050102</v>
      </c>
      <c r="L10" s="389">
        <v>2.2125396597183</v>
      </c>
      <c r="M10" s="389">
        <v>2.2351373991849601</v>
      </c>
      <c r="N10" s="389">
        <v>2.22048181639967</v>
      </c>
      <c r="O10" s="389">
        <v>2.2320116322918802</v>
      </c>
      <c r="P10" s="389">
        <v>2.25830972721704</v>
      </c>
      <c r="Q10" s="389">
        <v>2.27564533893606</v>
      </c>
      <c r="R10" s="389">
        <v>2.3021267451182101</v>
      </c>
      <c r="S10" s="389">
        <v>2.3193678221698799</v>
      </c>
      <c r="T10" s="389">
        <v>2.3630887401329401</v>
      </c>
      <c r="U10" s="389">
        <v>2.4040183268764199</v>
      </c>
      <c r="V10" s="389">
        <v>2.3508869392328702</v>
      </c>
      <c r="W10" s="389">
        <v>2.3397875662991998</v>
      </c>
      <c r="X10" s="389">
        <v>2.3463321773464698</v>
      </c>
      <c r="Y10" s="389">
        <v>2.3660208299322401</v>
      </c>
      <c r="Z10" s="389">
        <v>2.38072555635337</v>
      </c>
      <c r="AA10" s="389">
        <v>2.3786814788333301</v>
      </c>
      <c r="AB10" s="389">
        <v>2.3833628185945601</v>
      </c>
      <c r="AC10" s="389">
        <v>2.39782738150081</v>
      </c>
      <c r="AD10" s="389">
        <v>2.4216832770124701</v>
      </c>
      <c r="AE10" s="389">
        <v>2.4317461490191898</v>
      </c>
      <c r="AF10" s="389">
        <v>2.4769476627146898</v>
      </c>
      <c r="AG10" s="389">
        <v>2.4884783993884501</v>
      </c>
      <c r="AH10" s="389">
        <v>2.4969456869742301</v>
      </c>
      <c r="AI10" s="389">
        <v>2.5131764836174102</v>
      </c>
      <c r="AJ10" s="389">
        <v>2.5194129138440999</v>
      </c>
      <c r="AK10" s="389">
        <v>2.5296022010905101</v>
      </c>
      <c r="AL10" s="389">
        <v>2.55014674095177</v>
      </c>
      <c r="AM10" s="389">
        <v>2.55727771276656</v>
      </c>
      <c r="AN10" s="389">
        <v>2.5546180799215898</v>
      </c>
      <c r="AO10" s="389">
        <v>2.5737223597019399</v>
      </c>
      <c r="AP10" s="389">
        <v>2.5882577711185202</v>
      </c>
      <c r="AQ10" s="389">
        <v>2.59690193466492</v>
      </c>
      <c r="AR10" s="389">
        <v>2.60782686879682</v>
      </c>
      <c r="AS10" s="389">
        <v>2.6142506250731801</v>
      </c>
      <c r="AT10" s="389">
        <v>2.61661513719574</v>
      </c>
      <c r="AU10" s="389">
        <v>2.61186751422043</v>
      </c>
      <c r="AV10" s="389">
        <v>2.6225716857565202</v>
      </c>
      <c r="AW10" s="389">
        <v>2.61918012339319</v>
      </c>
      <c r="AX10" s="389">
        <v>2.62606071140064</v>
      </c>
      <c r="AY10" s="389">
        <v>2.6197019660963399</v>
      </c>
      <c r="AZ10" s="389">
        <v>2.6412980148257699</v>
      </c>
      <c r="BA10" s="389">
        <v>2.6622434334046901</v>
      </c>
      <c r="BB10" s="389">
        <v>2.67697032006182</v>
      </c>
      <c r="BC10" s="389">
        <v>2.69098591634374</v>
      </c>
      <c r="BD10" s="389">
        <v>2.6945884256758399</v>
      </c>
      <c r="BE10" s="389">
        <v>2.7069727936502899</v>
      </c>
      <c r="BF10" s="389">
        <v>2.72016803750495</v>
      </c>
      <c r="BG10" s="389">
        <v>2.7569818623248801</v>
      </c>
      <c r="BH10" s="389">
        <v>2.7703481242308801</v>
      </c>
      <c r="BI10" s="389">
        <v>2.7761821562378302</v>
      </c>
      <c r="BJ10" s="389">
        <v>2.7882443573554299</v>
      </c>
      <c r="BK10" s="389">
        <v>2.8008154324344998</v>
      </c>
      <c r="BL10" s="389">
        <v>2.8122629827835901</v>
      </c>
      <c r="BM10" s="389">
        <v>2.82670971159797</v>
      </c>
      <c r="BN10" s="389">
        <v>2.8407624221418502</v>
      </c>
      <c r="BO10" s="389">
        <v>2.8524451414889902</v>
      </c>
      <c r="BP10" s="389">
        <v>2.8081432400869799</v>
      </c>
      <c r="BQ10" s="389">
        <v>2.83702897542054</v>
      </c>
      <c r="BR10" s="389">
        <v>2.86207316594232</v>
      </c>
      <c r="BS10" s="389">
        <v>2.88300942517473</v>
      </c>
      <c r="BT10" s="389">
        <v>2.9031315630283099</v>
      </c>
      <c r="BU10" s="389">
        <v>2.9237852383987502</v>
      </c>
      <c r="BV10" s="389">
        <v>2.9452525720923899</v>
      </c>
      <c r="BW10" s="389">
        <v>2.9715005487445101</v>
      </c>
      <c r="BX10" s="389">
        <v>2.9990138487225102</v>
      </c>
      <c r="BY10" s="389">
        <v>3.0304124605061098</v>
      </c>
      <c r="BZ10" s="389">
        <v>3.0607984138856201</v>
      </c>
      <c r="CA10" s="389">
        <v>3.0892317198418699</v>
      </c>
      <c r="CB10" s="389">
        <v>3.1140897062258501</v>
      </c>
      <c r="CC10" s="389">
        <v>3.1396345471994902</v>
      </c>
      <c r="CD10" s="389">
        <v>3.1658479076269801</v>
      </c>
      <c r="CE10" s="389">
        <v>3.1926442188668198</v>
      </c>
      <c r="CF10" s="389">
        <v>3.2204813248597599</v>
      </c>
      <c r="CG10" s="389">
        <v>3.2484197397621299</v>
      </c>
      <c r="CH10" s="389">
        <v>3.27610574205606</v>
      </c>
    </row>
    <row r="12" spans="1:87" ht="13.05" x14ac:dyDescent="0.3">
      <c r="C12" s="390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  <c r="AK12" s="390"/>
      <c r="AL12" s="390"/>
      <c r="AM12" s="390"/>
      <c r="AN12" s="390"/>
      <c r="AO12" s="390"/>
      <c r="AP12" s="390"/>
      <c r="AQ12" s="390"/>
      <c r="AR12" s="390"/>
      <c r="AS12" s="390"/>
      <c r="AT12" s="390"/>
    </row>
    <row r="13" spans="1:87" ht="13.05" x14ac:dyDescent="0.3"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  <c r="AK13" s="390"/>
      <c r="AL13" s="390"/>
      <c r="AM13" s="390"/>
      <c r="AN13" s="390"/>
      <c r="AO13" s="390"/>
      <c r="AP13" s="390"/>
      <c r="AQ13" s="390"/>
      <c r="AR13" s="390"/>
      <c r="AS13" s="390"/>
      <c r="AT13" s="390"/>
      <c r="BN13" s="271" t="s">
        <v>214</v>
      </c>
      <c r="BO13" s="272"/>
      <c r="BP13" s="272"/>
      <c r="BQ13" s="273" t="s">
        <v>301</v>
      </c>
      <c r="BR13" s="274"/>
      <c r="BS13" s="274"/>
      <c r="BT13" s="274"/>
      <c r="BU13" s="274"/>
      <c r="BV13" s="274"/>
      <c r="BW13" s="272"/>
      <c r="BX13" s="272"/>
      <c r="BY13" s="272"/>
    </row>
    <row r="14" spans="1:87" ht="13.05" x14ac:dyDescent="0.3"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389"/>
      <c r="AO14" s="389"/>
      <c r="AP14" s="389"/>
      <c r="AQ14" s="389"/>
      <c r="AR14" s="389"/>
      <c r="AS14" s="389"/>
      <c r="AT14" s="389"/>
      <c r="BN14" s="275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7"/>
    </row>
    <row r="15" spans="1:87" ht="13.05" x14ac:dyDescent="0.3"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89"/>
      <c r="W15" s="389"/>
      <c r="X15" s="389"/>
      <c r="Y15" s="389"/>
      <c r="Z15" s="389"/>
      <c r="AA15" s="389"/>
      <c r="AB15" s="389"/>
      <c r="AC15" s="389"/>
      <c r="AD15" s="389"/>
      <c r="AE15" s="389"/>
      <c r="AF15" s="389"/>
      <c r="AG15" s="389"/>
      <c r="AH15" s="389"/>
      <c r="AI15" s="389"/>
      <c r="AJ15" s="389"/>
      <c r="AK15" s="389"/>
      <c r="AL15" s="389"/>
      <c r="AM15" s="389"/>
      <c r="AN15" s="389"/>
      <c r="AO15" s="389"/>
      <c r="AP15" s="389"/>
      <c r="AQ15" s="389"/>
      <c r="AR15" s="389"/>
      <c r="AS15" s="389"/>
      <c r="AT15" s="389"/>
      <c r="BN15" s="278"/>
      <c r="BO15" s="447" t="s">
        <v>215</v>
      </c>
      <c r="BP15" s="272" t="s">
        <v>303</v>
      </c>
      <c r="BQ15" s="272"/>
      <c r="BR15" s="272"/>
      <c r="BS15" s="272"/>
      <c r="BT15" s="272"/>
      <c r="BU15" s="272"/>
      <c r="BV15" s="272"/>
      <c r="BW15" s="272"/>
      <c r="BX15" s="272"/>
      <c r="BY15" s="281"/>
    </row>
    <row r="16" spans="1:87" ht="13.05" x14ac:dyDescent="0.3"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389"/>
      <c r="W16" s="389"/>
      <c r="X16" s="389"/>
      <c r="Y16" s="389"/>
      <c r="Z16" s="389"/>
      <c r="AA16" s="389"/>
      <c r="AB16" s="389"/>
      <c r="AC16" s="389"/>
      <c r="AD16" s="389"/>
      <c r="AE16" s="389"/>
      <c r="AF16" s="389"/>
      <c r="AG16" s="389"/>
      <c r="AH16" s="389"/>
      <c r="AI16" s="389"/>
      <c r="AJ16" s="389"/>
      <c r="AK16" s="389"/>
      <c r="AL16" s="389"/>
      <c r="AM16" s="389"/>
      <c r="AN16" s="389"/>
      <c r="AO16" s="389"/>
      <c r="AP16" s="389"/>
      <c r="AQ16" s="389"/>
      <c r="AR16" s="389"/>
      <c r="AS16" s="389"/>
      <c r="AT16" s="389"/>
      <c r="BN16" s="278"/>
      <c r="BO16" s="272"/>
      <c r="BP16" s="388" t="str">
        <f>BR7</f>
        <v>2020Q4</v>
      </c>
      <c r="BQ16" s="272"/>
      <c r="BR16" s="272"/>
      <c r="BS16" s="272"/>
      <c r="BT16" s="272"/>
      <c r="BU16" s="272"/>
      <c r="BV16" s="272"/>
      <c r="BW16" s="272"/>
      <c r="BX16" s="272"/>
      <c r="BY16" s="282" t="s">
        <v>216</v>
      </c>
    </row>
    <row r="17" spans="3:77" ht="13.05" x14ac:dyDescent="0.3">
      <c r="C17" s="448"/>
      <c r="D17" s="448"/>
      <c r="E17" s="448"/>
      <c r="F17" s="448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8"/>
      <c r="AD17" s="448"/>
      <c r="AE17" s="448"/>
      <c r="AF17" s="448"/>
      <c r="AG17" s="448"/>
      <c r="AH17" s="448"/>
      <c r="AI17" s="448"/>
      <c r="AJ17" s="448"/>
      <c r="AK17" s="448"/>
      <c r="AL17" s="448"/>
      <c r="AM17" s="448"/>
      <c r="AN17" s="448"/>
      <c r="AO17" s="448"/>
      <c r="AP17" s="448"/>
      <c r="BN17" s="278"/>
      <c r="BO17" s="272"/>
      <c r="BP17" s="391">
        <f>BR9</f>
        <v>2.85398956919206</v>
      </c>
      <c r="BQ17" s="392"/>
      <c r="BR17" s="272"/>
      <c r="BS17" s="272"/>
      <c r="BT17" s="272"/>
      <c r="BU17" s="272"/>
      <c r="BV17" s="272"/>
      <c r="BW17" s="272"/>
      <c r="BX17" s="272"/>
      <c r="BY17" s="283">
        <f>BP17</f>
        <v>2.85398956919206</v>
      </c>
    </row>
    <row r="18" spans="3:77" ht="13.05" x14ac:dyDescent="0.3">
      <c r="BN18" s="278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84"/>
    </row>
    <row r="19" spans="3:77" ht="13.05" x14ac:dyDescent="0.3">
      <c r="BN19" s="747" t="s">
        <v>217</v>
      </c>
      <c r="BO19" s="748"/>
      <c r="BP19" s="748"/>
      <c r="BQ19" s="272" t="s">
        <v>382</v>
      </c>
      <c r="BR19" s="272"/>
      <c r="BS19" s="272"/>
      <c r="BT19" s="272"/>
      <c r="BU19" s="272"/>
      <c r="BV19" s="272"/>
      <c r="BW19" s="272"/>
      <c r="BX19" s="272"/>
      <c r="BY19" s="284"/>
    </row>
    <row r="20" spans="3:77" ht="13.05" x14ac:dyDescent="0.3">
      <c r="BN20" s="278"/>
      <c r="BO20" s="272"/>
      <c r="BP20" s="386" t="str">
        <f>BS7</f>
        <v>2021Q1</v>
      </c>
      <c r="BQ20" s="386" t="str">
        <f t="shared" ref="BQ20:BW20" si="0">BT7</f>
        <v>2021Q2</v>
      </c>
      <c r="BR20" s="386" t="str">
        <f t="shared" si="0"/>
        <v>2021Q3</v>
      </c>
      <c r="BS20" s="386" t="str">
        <f t="shared" si="0"/>
        <v>2021Q4</v>
      </c>
      <c r="BT20" s="386" t="str">
        <f t="shared" si="0"/>
        <v>2022Q1</v>
      </c>
      <c r="BU20" s="386" t="str">
        <f t="shared" si="0"/>
        <v>2022Q2</v>
      </c>
      <c r="BV20" s="386" t="str">
        <f t="shared" si="0"/>
        <v>2022Q3</v>
      </c>
      <c r="BW20" s="386" t="str">
        <f t="shared" si="0"/>
        <v>2022Q4</v>
      </c>
      <c r="BX20" s="272"/>
      <c r="BY20" s="284"/>
    </row>
    <row r="21" spans="3:77" ht="13.05" x14ac:dyDescent="0.3">
      <c r="BN21" s="278"/>
      <c r="BO21" s="272"/>
      <c r="BP21" s="389">
        <f>BS9</f>
        <v>2.8700303924208002</v>
      </c>
      <c r="BQ21" s="389">
        <f t="shared" ref="BQ21:BW21" si="1">BT9</f>
        <v>2.8838098646244399</v>
      </c>
      <c r="BR21" s="389">
        <f t="shared" si="1"/>
        <v>2.8968176179723701</v>
      </c>
      <c r="BS21" s="389">
        <f t="shared" si="1"/>
        <v>2.9092049316234001</v>
      </c>
      <c r="BT21" s="389">
        <f t="shared" si="1"/>
        <v>2.9265506996353499</v>
      </c>
      <c r="BU21" s="389">
        <f t="shared" si="1"/>
        <v>2.9443745988331602</v>
      </c>
      <c r="BV21" s="389">
        <f t="shared" si="1"/>
        <v>2.9651786217835299</v>
      </c>
      <c r="BW21" s="389">
        <f t="shared" si="1"/>
        <v>2.9838594933281799</v>
      </c>
      <c r="BX21" s="272"/>
      <c r="BY21" s="283">
        <f>AVERAGE(BP21:BW21)</f>
        <v>2.9224782775276537</v>
      </c>
    </row>
    <row r="22" spans="3:77" ht="13.05" x14ac:dyDescent="0.3">
      <c r="BN22" s="278"/>
      <c r="BO22" s="272"/>
      <c r="BP22" s="272"/>
      <c r="BQ22" s="272"/>
      <c r="BR22" s="272"/>
      <c r="BS22" s="272"/>
      <c r="BT22" s="272"/>
      <c r="BU22" s="272"/>
      <c r="BV22" s="272"/>
      <c r="BW22" s="272"/>
      <c r="BX22" s="272"/>
      <c r="BY22" s="284"/>
    </row>
    <row r="23" spans="3:77" ht="13.05" x14ac:dyDescent="0.3">
      <c r="BN23" s="278"/>
      <c r="BO23" s="272"/>
      <c r="BP23" s="272"/>
      <c r="BQ23" s="272"/>
      <c r="BR23" s="272"/>
      <c r="BS23" s="272"/>
      <c r="BT23" s="272"/>
      <c r="BU23" s="272"/>
      <c r="BV23" s="272"/>
      <c r="BW23" s="272"/>
      <c r="BX23" s="449" t="s">
        <v>218</v>
      </c>
      <c r="BY23" s="287">
        <f>(BY21-BY17)/BY17</f>
        <v>2.3997532813331963E-2</v>
      </c>
    </row>
    <row r="24" spans="3:77" ht="13.05" x14ac:dyDescent="0.3">
      <c r="BN24" s="288"/>
      <c r="BO24" s="289"/>
      <c r="BP24" s="289"/>
      <c r="BQ24" s="289"/>
      <c r="BR24" s="289"/>
      <c r="BS24" s="289"/>
      <c r="BT24" s="289"/>
      <c r="BU24" s="289"/>
      <c r="BV24" s="289"/>
      <c r="BW24" s="289"/>
      <c r="BX24" s="289"/>
      <c r="BY24" s="290"/>
    </row>
    <row r="28" spans="3:77" x14ac:dyDescent="0.25">
      <c r="BN28" s="271" t="s">
        <v>214</v>
      </c>
      <c r="BO28" s="272"/>
      <c r="BP28" s="272"/>
      <c r="BQ28" s="273" t="s">
        <v>302</v>
      </c>
      <c r="BR28" s="274"/>
      <c r="BS28" s="274"/>
      <c r="BT28" s="274"/>
      <c r="BU28" s="274"/>
      <c r="BV28" s="274"/>
      <c r="BW28" s="272"/>
      <c r="BX28" s="272"/>
      <c r="BY28" s="272"/>
    </row>
    <row r="29" spans="3:77" x14ac:dyDescent="0.25">
      <c r="BN29" s="275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7"/>
    </row>
    <row r="30" spans="3:77" x14ac:dyDescent="0.25">
      <c r="BN30" s="278"/>
      <c r="BO30" s="447" t="s">
        <v>215</v>
      </c>
      <c r="BP30" s="450" t="s">
        <v>303</v>
      </c>
      <c r="BQ30" s="272"/>
      <c r="BR30" s="272"/>
      <c r="BS30" s="272"/>
      <c r="BT30" s="272"/>
      <c r="BU30" s="272"/>
      <c r="BV30" s="272"/>
      <c r="BW30" s="272"/>
      <c r="BX30" s="272"/>
      <c r="BY30" s="281"/>
    </row>
    <row r="31" spans="3:77" x14ac:dyDescent="0.25">
      <c r="BN31" s="278"/>
      <c r="BO31" s="272"/>
      <c r="BP31" s="388" t="str">
        <f>BR7</f>
        <v>2020Q4</v>
      </c>
      <c r="BQ31" s="272"/>
      <c r="BR31" s="272"/>
      <c r="BS31" s="272"/>
      <c r="BT31" s="272"/>
      <c r="BU31" s="272"/>
      <c r="BV31" s="272"/>
      <c r="BW31" s="272"/>
      <c r="BX31" s="272"/>
      <c r="BY31" s="282" t="s">
        <v>216</v>
      </c>
    </row>
    <row r="32" spans="3:77" x14ac:dyDescent="0.25">
      <c r="BN32" s="278"/>
      <c r="BO32" s="272"/>
      <c r="BP32" s="391">
        <f>BR9</f>
        <v>2.85398956919206</v>
      </c>
      <c r="BQ32" s="392"/>
      <c r="BR32" s="272"/>
      <c r="BS32" s="272"/>
      <c r="BT32" s="272"/>
      <c r="BU32" s="272"/>
      <c r="BV32" s="272"/>
      <c r="BW32" s="272"/>
      <c r="BX32" s="272"/>
      <c r="BY32" s="283">
        <f>BP32</f>
        <v>2.85398956919206</v>
      </c>
    </row>
    <row r="33" spans="66:77" x14ac:dyDescent="0.25">
      <c r="BN33" s="278"/>
      <c r="BO33" s="272"/>
      <c r="BP33" s="272"/>
      <c r="BQ33" s="272"/>
      <c r="BR33" s="272"/>
      <c r="BS33" s="272"/>
      <c r="BT33" s="272"/>
      <c r="BU33" s="272"/>
      <c r="BV33" s="272"/>
      <c r="BW33" s="272"/>
      <c r="BX33" s="272"/>
      <c r="BY33" s="284"/>
    </row>
    <row r="34" spans="66:77" x14ac:dyDescent="0.25">
      <c r="BN34" s="747" t="s">
        <v>217</v>
      </c>
      <c r="BO34" s="748"/>
      <c r="BP34" s="748"/>
      <c r="BQ34" s="272" t="s">
        <v>304</v>
      </c>
      <c r="BR34" s="272"/>
      <c r="BS34" s="272"/>
      <c r="BT34" s="272"/>
      <c r="BU34" s="272"/>
      <c r="BV34" s="272"/>
      <c r="BW34" s="272"/>
      <c r="BX34" s="272"/>
      <c r="BY34" s="284"/>
    </row>
    <row r="35" spans="66:77" x14ac:dyDescent="0.25">
      <c r="BN35" s="278"/>
      <c r="BO35" s="272"/>
      <c r="BP35" s="386" t="str">
        <f>BS7</f>
        <v>2021Q1</v>
      </c>
      <c r="BQ35" s="386" t="str">
        <f t="shared" ref="BQ35:BW35" si="2">BT7</f>
        <v>2021Q2</v>
      </c>
      <c r="BR35" s="386" t="str">
        <f t="shared" si="2"/>
        <v>2021Q3</v>
      </c>
      <c r="BS35" s="386" t="str">
        <f t="shared" si="2"/>
        <v>2021Q4</v>
      </c>
      <c r="BT35" s="386" t="str">
        <f t="shared" si="2"/>
        <v>2022Q1</v>
      </c>
      <c r="BU35" s="386" t="str">
        <f t="shared" si="2"/>
        <v>2022Q2</v>
      </c>
      <c r="BV35" s="386" t="str">
        <f t="shared" si="2"/>
        <v>2022Q3</v>
      </c>
      <c r="BW35" s="386" t="str">
        <f t="shared" si="2"/>
        <v>2022Q4</v>
      </c>
      <c r="BX35" s="272"/>
      <c r="BY35" s="284"/>
    </row>
    <row r="36" spans="66:77" x14ac:dyDescent="0.25">
      <c r="BN36" s="278"/>
      <c r="BO36" s="272"/>
      <c r="BP36" s="389">
        <f>BS9</f>
        <v>2.8700303924208002</v>
      </c>
      <c r="BQ36" s="389">
        <f t="shared" ref="BQ36:BW36" si="3">BT9</f>
        <v>2.8838098646244399</v>
      </c>
      <c r="BR36" s="389">
        <f t="shared" si="3"/>
        <v>2.8968176179723701</v>
      </c>
      <c r="BS36" s="389">
        <f t="shared" si="3"/>
        <v>2.9092049316234001</v>
      </c>
      <c r="BT36" s="389">
        <f t="shared" si="3"/>
        <v>2.9265506996353499</v>
      </c>
      <c r="BU36" s="389">
        <f t="shared" si="3"/>
        <v>2.9443745988331602</v>
      </c>
      <c r="BV36" s="389">
        <f t="shared" si="3"/>
        <v>2.9651786217835299</v>
      </c>
      <c r="BW36" s="389">
        <f t="shared" si="3"/>
        <v>2.9838594933281799</v>
      </c>
      <c r="BX36" s="272"/>
      <c r="BY36" s="283">
        <f>AVERAGE(BP36:BW36)</f>
        <v>2.9224782775276537</v>
      </c>
    </row>
    <row r="37" spans="66:77" x14ac:dyDescent="0.25">
      <c r="BN37" s="278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84"/>
    </row>
    <row r="38" spans="66:77" x14ac:dyDescent="0.25">
      <c r="BN38" s="278"/>
      <c r="BO38" s="272"/>
      <c r="BP38" s="272"/>
      <c r="BQ38" s="272"/>
      <c r="BR38" s="272"/>
      <c r="BS38" s="272"/>
      <c r="BT38" s="272"/>
      <c r="BU38" s="272"/>
      <c r="BV38" s="272"/>
      <c r="BW38" s="272"/>
      <c r="BX38" s="449" t="s">
        <v>218</v>
      </c>
      <c r="BY38" s="287">
        <f>(BY36-BY32)/BY32</f>
        <v>2.3997532813331963E-2</v>
      </c>
    </row>
    <row r="39" spans="66:77" x14ac:dyDescent="0.25">
      <c r="BN39" s="288"/>
      <c r="BO39" s="289"/>
      <c r="BP39" s="289"/>
      <c r="BQ39" s="289"/>
      <c r="BR39" s="289"/>
      <c r="BS39" s="289"/>
      <c r="BT39" s="289"/>
      <c r="BU39" s="289"/>
      <c r="BV39" s="289"/>
      <c r="BW39" s="289"/>
      <c r="BX39" s="289"/>
      <c r="BY39" s="290"/>
    </row>
  </sheetData>
  <mergeCells count="2">
    <mergeCell ref="BN19:BP19"/>
    <mergeCell ref="BN34:BP34"/>
  </mergeCells>
  <pageMargins left="0.25" right="0.2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tabSelected="1" zoomScale="90" zoomScaleNormal="90" workbookViewId="0">
      <selection activeCell="G1" sqref="G1"/>
    </sheetView>
  </sheetViews>
  <sheetFormatPr defaultColWidth="8.88671875" defaultRowHeight="14.4" x14ac:dyDescent="0.3"/>
  <cols>
    <col min="1" max="1" width="5.5546875" customWidth="1"/>
    <col min="2" max="2" width="58" customWidth="1"/>
    <col min="3" max="3" width="16.109375" customWidth="1"/>
    <col min="4" max="4" width="10" hidden="1" customWidth="1"/>
    <col min="5" max="5" width="1.6640625" customWidth="1"/>
    <col min="6" max="6" width="50.5546875" customWidth="1"/>
    <col min="7" max="7" width="65" style="349" customWidth="1"/>
    <col min="8" max="8" width="14.6640625" hidden="1" customWidth="1"/>
    <col min="9" max="9" width="0" hidden="1" customWidth="1"/>
    <col min="10" max="10" width="11" hidden="1" customWidth="1"/>
    <col min="11" max="11" width="0" hidden="1" customWidth="1"/>
  </cols>
  <sheetData>
    <row r="1" spans="2:10" ht="57" customHeight="1" x14ac:dyDescent="0.35">
      <c r="B1" s="347"/>
      <c r="C1" s="348" t="s">
        <v>465</v>
      </c>
      <c r="D1" s="348" t="s">
        <v>232</v>
      </c>
    </row>
    <row r="2" spans="2:10" ht="15" thickBot="1" x14ac:dyDescent="0.4">
      <c r="B2" s="350" t="s">
        <v>233</v>
      </c>
      <c r="C2" s="351"/>
      <c r="D2" s="348" t="s">
        <v>234</v>
      </c>
      <c r="G2" s="352" t="s">
        <v>235</v>
      </c>
      <c r="H2" s="348" t="s">
        <v>236</v>
      </c>
      <c r="J2" t="s">
        <v>237</v>
      </c>
    </row>
    <row r="3" spans="2:10" ht="31.2" customHeight="1" x14ac:dyDescent="0.3">
      <c r="B3" s="353" t="s">
        <v>449</v>
      </c>
      <c r="C3" s="354">
        <v>15.48</v>
      </c>
      <c r="D3" s="354">
        <f>'[10]DC I &amp; II'!J12</f>
        <v>16.796506410256413</v>
      </c>
      <c r="E3" s="355"/>
      <c r="F3" s="705" t="s">
        <v>238</v>
      </c>
      <c r="G3" s="698" t="s">
        <v>239</v>
      </c>
      <c r="H3" s="356">
        <f>H4/2080</f>
        <v>15.480288461538462</v>
      </c>
      <c r="J3" s="357">
        <f>D3-H3</f>
        <v>1.3162179487179504</v>
      </c>
    </row>
    <row r="4" spans="2:10" ht="16.2" thickBot="1" x14ac:dyDescent="0.35">
      <c r="B4" s="358" t="s">
        <v>450</v>
      </c>
      <c r="C4" s="359">
        <f>C3*2080</f>
        <v>32198.400000000001</v>
      </c>
      <c r="D4" s="360">
        <f>D3*2080</f>
        <v>34936.733333333337</v>
      </c>
      <c r="E4" s="361"/>
      <c r="F4" s="706"/>
      <c r="G4" s="699"/>
      <c r="H4" s="362">
        <v>32199</v>
      </c>
      <c r="J4" s="357"/>
    </row>
    <row r="5" spans="2:10" ht="15.6" x14ac:dyDescent="0.3">
      <c r="B5" s="353" t="s">
        <v>240</v>
      </c>
      <c r="C5" s="354">
        <v>19.96</v>
      </c>
      <c r="D5" s="363">
        <f>'[10]DC III '!J11</f>
        <v>20.893115384615385</v>
      </c>
      <c r="E5" s="355"/>
      <c r="F5" s="355" t="s">
        <v>241</v>
      </c>
      <c r="G5" s="698" t="s">
        <v>242</v>
      </c>
      <c r="H5" s="356">
        <f>H6/2080</f>
        <v>18.400480769230768</v>
      </c>
      <c r="J5" s="357">
        <f>D5-H5</f>
        <v>2.4926346153846168</v>
      </c>
    </row>
    <row r="6" spans="2:10" ht="16.2" thickBot="1" x14ac:dyDescent="0.35">
      <c r="B6" s="364" t="s">
        <v>316</v>
      </c>
      <c r="C6" s="365">
        <f>C5*2080</f>
        <v>41516.800000000003</v>
      </c>
      <c r="D6" s="366">
        <f>D5*2080</f>
        <v>43457.68</v>
      </c>
      <c r="E6" s="367"/>
      <c r="F6" s="367"/>
      <c r="G6" s="699"/>
      <c r="H6" s="362">
        <v>38273</v>
      </c>
      <c r="J6" s="357"/>
    </row>
    <row r="7" spans="2:10" ht="15.6" x14ac:dyDescent="0.3">
      <c r="B7" s="353" t="s">
        <v>243</v>
      </c>
      <c r="C7" s="354">
        <v>15.53</v>
      </c>
      <c r="D7" s="363">
        <f>[10]CNA!L13</f>
        <v>16.170000000000002</v>
      </c>
      <c r="E7" s="355"/>
      <c r="F7" s="368"/>
      <c r="G7" s="698" t="s">
        <v>244</v>
      </c>
      <c r="H7" s="356">
        <f>H8/2080</f>
        <v>20.43028846153846</v>
      </c>
      <c r="J7" s="369">
        <f>D7-H7</f>
        <v>-4.2602884615384582</v>
      </c>
    </row>
    <row r="8" spans="2:10" ht="16.2" thickBot="1" x14ac:dyDescent="0.35">
      <c r="B8" s="364" t="s">
        <v>245</v>
      </c>
      <c r="C8" s="365">
        <f>C7*2080</f>
        <v>32302.399999999998</v>
      </c>
      <c r="D8" s="366">
        <f>D7*2080</f>
        <v>33633.600000000006</v>
      </c>
      <c r="E8" s="367"/>
      <c r="F8" s="367"/>
      <c r="G8" s="699"/>
      <c r="H8" s="362">
        <v>42495</v>
      </c>
      <c r="J8" s="357"/>
    </row>
    <row r="9" spans="2:10" ht="15.6" x14ac:dyDescent="0.3">
      <c r="B9" s="353" t="s">
        <v>246</v>
      </c>
      <c r="C9" s="354">
        <v>21.14</v>
      </c>
      <c r="D9" s="363">
        <f>'[10]Caseworker BA'!J9</f>
        <v>22.073999999999998</v>
      </c>
      <c r="E9" s="355"/>
      <c r="F9" s="355" t="s">
        <v>247</v>
      </c>
      <c r="G9" s="698" t="s">
        <v>248</v>
      </c>
      <c r="H9" s="703" t="s">
        <v>249</v>
      </c>
      <c r="J9" s="357"/>
    </row>
    <row r="10" spans="2:10" ht="16.2" thickBot="1" x14ac:dyDescent="0.35">
      <c r="B10" s="364" t="s">
        <v>250</v>
      </c>
      <c r="C10" s="365">
        <f>C9*2080</f>
        <v>43971.200000000004</v>
      </c>
      <c r="D10" s="366">
        <f>D9*2080</f>
        <v>45913.919999999998</v>
      </c>
      <c r="E10" s="367"/>
      <c r="F10" s="367"/>
      <c r="G10" s="699"/>
      <c r="H10" s="704"/>
      <c r="J10" s="357"/>
    </row>
    <row r="11" spans="2:10" ht="31.2" x14ac:dyDescent="0.3">
      <c r="B11" s="370" t="s">
        <v>251</v>
      </c>
      <c r="C11" s="371">
        <v>25.32</v>
      </c>
      <c r="D11" s="372">
        <f>'[10]Casemanager MA '!J13</f>
        <v>26.866666666666664</v>
      </c>
      <c r="E11" s="361"/>
      <c r="F11" s="361" t="s">
        <v>252</v>
      </c>
      <c r="G11" s="700" t="s">
        <v>253</v>
      </c>
      <c r="H11" s="356">
        <f>H12/2080</f>
        <v>19.703365384615385</v>
      </c>
      <c r="J11" s="357">
        <f>D11-H11</f>
        <v>7.1633012820512789</v>
      </c>
    </row>
    <row r="12" spans="2:10" ht="31.8" thickBot="1" x14ac:dyDescent="0.35">
      <c r="B12" s="370" t="s">
        <v>254</v>
      </c>
      <c r="C12" s="365">
        <f>C11*2080</f>
        <v>52665.599999999999</v>
      </c>
      <c r="D12" s="366">
        <f>D11*2080</f>
        <v>55882.666666666657</v>
      </c>
      <c r="E12" s="367"/>
      <c r="F12" s="367" t="s">
        <v>255</v>
      </c>
      <c r="G12" s="699"/>
      <c r="H12" s="362">
        <v>40983</v>
      </c>
      <c r="J12" s="357"/>
    </row>
    <row r="13" spans="2:10" ht="15.6" x14ac:dyDescent="0.3">
      <c r="B13" s="353" t="s">
        <v>256</v>
      </c>
      <c r="C13" s="354">
        <v>29.29</v>
      </c>
      <c r="D13" s="363">
        <f>'[10]Clinician w indep Lic'!O13</f>
        <v>30.101111111111109</v>
      </c>
      <c r="E13" s="355"/>
      <c r="F13" s="355" t="s">
        <v>257</v>
      </c>
      <c r="G13" s="698" t="s">
        <v>258</v>
      </c>
      <c r="H13" s="356">
        <f>H14/2080</f>
        <v>27.190865384615385</v>
      </c>
      <c r="J13" s="357">
        <f>D13-H13</f>
        <v>2.9102457264957238</v>
      </c>
    </row>
    <row r="14" spans="2:10" ht="16.2" thickBot="1" x14ac:dyDescent="0.35">
      <c r="B14" s="364" t="s">
        <v>259</v>
      </c>
      <c r="C14" s="365">
        <f>C13*2080</f>
        <v>60923.199999999997</v>
      </c>
      <c r="D14" s="366">
        <f>D13*2080</f>
        <v>62610.311111111107</v>
      </c>
      <c r="E14" s="367"/>
      <c r="F14" s="367"/>
      <c r="G14" s="699"/>
      <c r="H14" s="362">
        <v>56557</v>
      </c>
      <c r="J14" s="357"/>
    </row>
    <row r="15" spans="2:10" ht="15.6" x14ac:dyDescent="0.3">
      <c r="B15" s="353" t="s">
        <v>260</v>
      </c>
      <c r="C15" s="354">
        <v>40.06</v>
      </c>
      <c r="D15" s="363">
        <f>'[10]Clinical Manager'!I6</f>
        <v>42.94</v>
      </c>
      <c r="E15" s="355"/>
      <c r="F15" s="701" t="s">
        <v>261</v>
      </c>
      <c r="G15" s="698" t="s">
        <v>262</v>
      </c>
      <c r="H15" s="356">
        <f>H16/2080</f>
        <v>33.217788461538461</v>
      </c>
      <c r="J15" s="357">
        <f>D15-H15</f>
        <v>9.7222115384615364</v>
      </c>
    </row>
    <row r="16" spans="2:10" ht="16.2" thickBot="1" x14ac:dyDescent="0.35">
      <c r="B16" s="364" t="s">
        <v>263</v>
      </c>
      <c r="C16" s="365">
        <f>C15*2080</f>
        <v>83324.800000000003</v>
      </c>
      <c r="D16" s="366">
        <f>D15*2080</f>
        <v>89315.199999999997</v>
      </c>
      <c r="E16" s="367"/>
      <c r="F16" s="702"/>
      <c r="G16" s="699"/>
      <c r="H16" s="362">
        <v>69093</v>
      </c>
      <c r="J16" s="357"/>
    </row>
    <row r="17" spans="2:10" ht="15.6" x14ac:dyDescent="0.3">
      <c r="B17" s="353" t="s">
        <v>264</v>
      </c>
      <c r="C17" s="354">
        <v>27.62</v>
      </c>
      <c r="D17" s="363">
        <f>[10]LPN!H6</f>
        <v>28.36</v>
      </c>
      <c r="E17" s="355"/>
      <c r="F17" s="355"/>
      <c r="G17" s="698" t="s">
        <v>265</v>
      </c>
      <c r="H17" s="356">
        <f>H18/2080</f>
        <v>25.143750000000001</v>
      </c>
      <c r="J17" s="357">
        <f>D17-H17</f>
        <v>3.2162499999999987</v>
      </c>
    </row>
    <row r="18" spans="2:10" ht="16.2" thickBot="1" x14ac:dyDescent="0.35">
      <c r="B18" s="364" t="s">
        <v>266</v>
      </c>
      <c r="C18" s="365">
        <f>C17*2080</f>
        <v>57449.599999999999</v>
      </c>
      <c r="D18" s="366">
        <f>D17*2080</f>
        <v>58988.799999999996</v>
      </c>
      <c r="E18" s="367"/>
      <c r="F18" s="367"/>
      <c r="G18" s="699"/>
      <c r="H18" s="362">
        <v>52299</v>
      </c>
      <c r="J18" s="357"/>
    </row>
    <row r="19" spans="2:10" ht="15.6" x14ac:dyDescent="0.3">
      <c r="B19" s="353" t="s">
        <v>267</v>
      </c>
      <c r="C19" s="354">
        <v>41.76</v>
      </c>
      <c r="D19" s="363">
        <f>'[10]BS RN'!K16</f>
        <v>44.3</v>
      </c>
      <c r="E19" s="355"/>
      <c r="F19" s="355"/>
      <c r="G19" s="698" t="s">
        <v>268</v>
      </c>
      <c r="H19" s="373">
        <f>H20/2080</f>
        <v>33.460576923076921</v>
      </c>
      <c r="J19" s="357">
        <f>D19-H19</f>
        <v>10.839423076923076</v>
      </c>
    </row>
    <row r="20" spans="2:10" ht="16.2" thickBot="1" x14ac:dyDescent="0.35">
      <c r="B20" s="364" t="s">
        <v>269</v>
      </c>
      <c r="C20" s="365">
        <f>C19*2080</f>
        <v>86860.800000000003</v>
      </c>
      <c r="D20" s="366">
        <f>D19*2080</f>
        <v>92144</v>
      </c>
      <c r="E20" s="367"/>
      <c r="F20" s="367"/>
      <c r="G20" s="699"/>
      <c r="H20" s="362">
        <v>69598</v>
      </c>
      <c r="J20" s="357"/>
    </row>
    <row r="21" spans="2:10" ht="15.6" x14ac:dyDescent="0.3">
      <c r="B21" s="353" t="s">
        <v>270</v>
      </c>
      <c r="C21" s="354">
        <v>57.41</v>
      </c>
      <c r="D21" s="363">
        <f>'[10]MS RN. APRN'!K15</f>
        <v>59.01</v>
      </c>
      <c r="E21" s="355"/>
      <c r="F21" s="355"/>
      <c r="G21" s="698" t="s">
        <v>271</v>
      </c>
      <c r="H21" s="356">
        <f>H22/2080</f>
        <v>48.354326923076925</v>
      </c>
      <c r="J21" s="357">
        <f>D21-H21</f>
        <v>10.655673076923073</v>
      </c>
    </row>
    <row r="22" spans="2:10" ht="16.2" thickBot="1" x14ac:dyDescent="0.35">
      <c r="B22" s="364" t="s">
        <v>272</v>
      </c>
      <c r="C22" s="365">
        <f>C21*2080</f>
        <v>119412.79999999999</v>
      </c>
      <c r="D22" s="366">
        <f>D21*2080</f>
        <v>122740.8</v>
      </c>
      <c r="E22" s="367"/>
      <c r="F22" s="367"/>
      <c r="G22" s="699"/>
      <c r="H22" s="362">
        <v>100577</v>
      </c>
      <c r="J22" s="357"/>
    </row>
    <row r="26" spans="2:10" ht="15.6" x14ac:dyDescent="0.3">
      <c r="B26" s="374" t="s">
        <v>273</v>
      </c>
      <c r="C26" s="375">
        <f>C4</f>
        <v>32198.400000000001</v>
      </c>
    </row>
    <row r="27" spans="2:10" ht="15.6" x14ac:dyDescent="0.3">
      <c r="B27" s="376"/>
      <c r="C27" s="376"/>
    </row>
    <row r="28" spans="2:10" ht="15.6" x14ac:dyDescent="0.3">
      <c r="B28" s="374" t="s">
        <v>274</v>
      </c>
      <c r="C28" s="375">
        <v>29640</v>
      </c>
    </row>
    <row r="29" spans="2:10" ht="15.6" x14ac:dyDescent="0.3">
      <c r="B29" s="376"/>
      <c r="C29" s="376"/>
    </row>
    <row r="30" spans="2:10" ht="15.6" x14ac:dyDescent="0.3">
      <c r="B30" s="374" t="s">
        <v>275</v>
      </c>
      <c r="C30" s="377">
        <v>0.224</v>
      </c>
    </row>
    <row r="31" spans="2:10" ht="15.6" x14ac:dyDescent="0.3">
      <c r="B31" s="374" t="s">
        <v>276</v>
      </c>
      <c r="C31" s="377">
        <f>'Master Lookup'!C35</f>
        <v>2.3997532813331963E-2</v>
      </c>
    </row>
    <row r="32" spans="2:10" ht="15.6" x14ac:dyDescent="0.3">
      <c r="B32" s="378" t="s">
        <v>277</v>
      </c>
      <c r="C32" s="377">
        <v>3.7000000000000002E-3</v>
      </c>
    </row>
  </sheetData>
  <mergeCells count="13">
    <mergeCell ref="H9:H10"/>
    <mergeCell ref="F3:F4"/>
    <mergeCell ref="G3:G4"/>
    <mergeCell ref="G5:G6"/>
    <mergeCell ref="G7:G8"/>
    <mergeCell ref="G9:G10"/>
    <mergeCell ref="G21:G22"/>
    <mergeCell ref="G11:G12"/>
    <mergeCell ref="G13:G14"/>
    <mergeCell ref="F15:F16"/>
    <mergeCell ref="G15:G16"/>
    <mergeCell ref="G17:G18"/>
    <mergeCell ref="G19:G20"/>
  </mergeCells>
  <pageMargins left="0.25" right="0.25" top="0.75" bottom="0.75" header="0.3" footer="0.3"/>
  <pageSetup scale="69" fitToHeight="0" orientation="landscape" cellComments="asDisplayed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7"/>
  <sheetViews>
    <sheetView topLeftCell="A10" zoomScaleNormal="100" workbookViewId="0">
      <selection activeCell="J15" sqref="J15"/>
    </sheetView>
  </sheetViews>
  <sheetFormatPr defaultRowHeight="14.4" x14ac:dyDescent="0.3"/>
  <cols>
    <col min="2" max="2" width="22.6640625" bestFit="1" customWidth="1"/>
    <col min="3" max="3" width="18.5546875" style="207" customWidth="1"/>
    <col min="4" max="4" width="39.88671875" style="207" hidden="1" customWidth="1"/>
    <col min="5" max="5" width="5.5546875" hidden="1" customWidth="1"/>
    <col min="6" max="6" width="4.6640625" hidden="1" customWidth="1"/>
    <col min="7" max="7" width="17.44140625" customWidth="1"/>
    <col min="8" max="8" width="14.44140625" customWidth="1"/>
    <col min="9" max="9" width="18.109375" customWidth="1"/>
    <col min="10" max="11" width="11.5546875" bestFit="1" customWidth="1"/>
    <col min="12" max="12" width="12" bestFit="1" customWidth="1"/>
  </cols>
  <sheetData>
    <row r="2" spans="2:14" ht="15" thickBot="1" x14ac:dyDescent="0.4">
      <c r="B2" s="379"/>
      <c r="C2" s="379" t="s">
        <v>227</v>
      </c>
      <c r="D2" s="379"/>
      <c r="E2" s="310"/>
      <c r="F2" s="310"/>
      <c r="G2" s="455"/>
      <c r="H2" s="455" t="s">
        <v>227</v>
      </c>
      <c r="I2" s="455"/>
    </row>
    <row r="3" spans="2:14" ht="15" thickBot="1" x14ac:dyDescent="0.4">
      <c r="B3" s="340" t="s">
        <v>0</v>
      </c>
      <c r="C3" s="318"/>
      <c r="D3" s="319"/>
      <c r="E3" s="709"/>
      <c r="F3" s="709"/>
      <c r="G3" s="340" t="s">
        <v>0</v>
      </c>
      <c r="H3" s="318"/>
      <c r="I3" s="318"/>
    </row>
    <row r="4" spans="2:14" ht="14.55" x14ac:dyDescent="0.35">
      <c r="B4" s="298"/>
      <c r="C4" s="320" t="s">
        <v>1</v>
      </c>
      <c r="D4" s="314" t="s">
        <v>2</v>
      </c>
      <c r="E4" s="309"/>
      <c r="F4" s="309"/>
      <c r="G4" s="456"/>
      <c r="H4" s="457" t="s">
        <v>1</v>
      </c>
      <c r="I4" s="457"/>
    </row>
    <row r="5" spans="2:14" ht="14.55" x14ac:dyDescent="0.35">
      <c r="B5" s="298" t="s">
        <v>3</v>
      </c>
      <c r="C5" s="300">
        <v>15</v>
      </c>
      <c r="D5" s="315">
        <f>C5*8</f>
        <v>120</v>
      </c>
      <c r="E5" s="309"/>
      <c r="F5" s="309"/>
      <c r="G5" s="456" t="s">
        <v>3</v>
      </c>
      <c r="H5" s="458">
        <v>15</v>
      </c>
      <c r="I5" s="458"/>
    </row>
    <row r="6" spans="2:14" ht="14.55" x14ac:dyDescent="0.35">
      <c r="B6" s="298" t="s">
        <v>4</v>
      </c>
      <c r="C6" s="439">
        <v>8</v>
      </c>
      <c r="D6" s="315">
        <f>C6*8</f>
        <v>64</v>
      </c>
      <c r="E6" s="309"/>
      <c r="F6" s="309"/>
      <c r="G6" s="456" t="s">
        <v>4</v>
      </c>
      <c r="H6" s="458">
        <v>10</v>
      </c>
      <c r="I6" s="458"/>
    </row>
    <row r="7" spans="2:14" ht="14.55" x14ac:dyDescent="0.35">
      <c r="B7" s="298" t="s">
        <v>5</v>
      </c>
      <c r="C7" s="300">
        <v>10</v>
      </c>
      <c r="D7" s="315">
        <f>C7*8</f>
        <v>80</v>
      </c>
      <c r="E7" s="309"/>
      <c r="F7" s="309"/>
      <c r="G7" s="456" t="s">
        <v>5</v>
      </c>
      <c r="H7" s="458">
        <v>10</v>
      </c>
      <c r="I7" s="458"/>
    </row>
    <row r="8" spans="2:14" ht="14.55" x14ac:dyDescent="0.35">
      <c r="B8" s="298" t="s">
        <v>6</v>
      </c>
      <c r="C8" s="300">
        <v>5</v>
      </c>
      <c r="D8" s="315">
        <f>C8*8</f>
        <v>40</v>
      </c>
      <c r="E8" s="309"/>
      <c r="F8" s="309"/>
      <c r="G8" s="456" t="s">
        <v>6</v>
      </c>
      <c r="H8" s="458">
        <v>5</v>
      </c>
      <c r="I8" s="458"/>
      <c r="J8" s="209"/>
      <c r="K8" s="710"/>
      <c r="L8" s="710"/>
      <c r="M8" s="710"/>
      <c r="N8" s="710"/>
    </row>
    <row r="9" spans="2:14" ht="14.55" x14ac:dyDescent="0.35">
      <c r="B9" s="299"/>
      <c r="C9" s="309" t="s">
        <v>7</v>
      </c>
      <c r="D9" s="316">
        <f>SUM(D5:D8)</f>
        <v>304</v>
      </c>
      <c r="E9" s="309"/>
      <c r="F9" s="309"/>
      <c r="G9" s="459"/>
      <c r="H9" s="460" t="s">
        <v>7</v>
      </c>
      <c r="I9" s="460"/>
      <c r="K9" s="444"/>
      <c r="L9" s="444"/>
      <c r="M9" s="444"/>
      <c r="N9" s="444"/>
    </row>
    <row r="10" spans="2:14" ht="15" thickBot="1" x14ac:dyDescent="0.4">
      <c r="B10" s="299"/>
      <c r="C10" s="309" t="s">
        <v>121</v>
      </c>
      <c r="D10" s="317">
        <f>D9/(52*40)</f>
        <v>0.14615384615384616</v>
      </c>
      <c r="E10" s="309"/>
      <c r="F10" s="309"/>
      <c r="G10" s="459"/>
      <c r="H10" s="460" t="s">
        <v>121</v>
      </c>
      <c r="I10" s="460"/>
      <c r="K10" s="297"/>
      <c r="L10" s="297"/>
      <c r="M10" s="297"/>
      <c r="N10" s="444"/>
    </row>
    <row r="11" spans="2:14" ht="15" thickBot="1" x14ac:dyDescent="0.4">
      <c r="B11" s="711" t="s">
        <v>309</v>
      </c>
      <c r="C11" s="712"/>
      <c r="D11" s="339" t="s">
        <v>223</v>
      </c>
      <c r="E11" s="302"/>
      <c r="F11" s="302"/>
      <c r="G11" s="711" t="s">
        <v>311</v>
      </c>
      <c r="H11" s="715"/>
      <c r="I11" s="473" t="s">
        <v>310</v>
      </c>
    </row>
    <row r="12" spans="2:14" ht="24.45" x14ac:dyDescent="0.35">
      <c r="B12" s="327" t="s">
        <v>8</v>
      </c>
      <c r="C12" s="343">
        <f>75528.6*(1+C34)</f>
        <v>77462.132160000008</v>
      </c>
      <c r="D12" s="344" t="s">
        <v>225</v>
      </c>
      <c r="E12" s="301"/>
      <c r="G12" s="327" t="s">
        <v>8</v>
      </c>
      <c r="H12" s="461">
        <v>75528.600000000006</v>
      </c>
      <c r="I12" s="469">
        <f>C12-H12</f>
        <v>1933.5321600000025</v>
      </c>
      <c r="J12" s="474">
        <f t="shared" ref="J12:J22" si="0">I12/H12</f>
        <v>2.5600000000000032E-2</v>
      </c>
      <c r="K12" s="243"/>
      <c r="L12" s="243"/>
    </row>
    <row r="13" spans="2:14" ht="14.55" x14ac:dyDescent="0.35">
      <c r="B13" s="303" t="s">
        <v>8</v>
      </c>
      <c r="C13" s="451">
        <v>72403</v>
      </c>
      <c r="D13" s="452" t="s">
        <v>305</v>
      </c>
      <c r="E13" s="331"/>
      <c r="F13" s="330"/>
      <c r="G13" s="456" t="s">
        <v>8</v>
      </c>
      <c r="H13" s="462">
        <v>65000</v>
      </c>
      <c r="I13" s="469">
        <f t="shared" ref="I13:I22" si="1">C13-H13</f>
        <v>7403</v>
      </c>
      <c r="J13" s="474">
        <f t="shared" si="0"/>
        <v>0.1138923076923077</v>
      </c>
    </row>
    <row r="14" spans="2:14" ht="14.55" x14ac:dyDescent="0.35">
      <c r="B14" s="303" t="s">
        <v>9</v>
      </c>
      <c r="C14" s="331">
        <f>164929.8*(1+C34)</f>
        <v>169152.00287999999</v>
      </c>
      <c r="D14" s="329" t="s">
        <v>230</v>
      </c>
      <c r="E14" s="313"/>
      <c r="G14" s="456" t="s">
        <v>9</v>
      </c>
      <c r="H14" s="462">
        <v>164929.80000000002</v>
      </c>
      <c r="I14" s="469">
        <f t="shared" si="1"/>
        <v>4222.202879999968</v>
      </c>
      <c r="J14" s="474">
        <f t="shared" si="0"/>
        <v>2.5599999999999803E-2</v>
      </c>
      <c r="K14" s="243"/>
    </row>
    <row r="15" spans="2:14" ht="14.55" x14ac:dyDescent="0.35">
      <c r="B15" s="303" t="s">
        <v>10</v>
      </c>
      <c r="C15" s="331">
        <f>Chart!C22</f>
        <v>119412.79999999999</v>
      </c>
      <c r="D15" s="398" t="s">
        <v>293</v>
      </c>
      <c r="E15" s="313"/>
      <c r="G15" s="456" t="s">
        <v>10</v>
      </c>
      <c r="H15" s="462">
        <v>81450.658800000005</v>
      </c>
      <c r="I15" s="469">
        <f t="shared" si="1"/>
        <v>37962.141199999984</v>
      </c>
      <c r="J15" s="474">
        <f t="shared" si="0"/>
        <v>0.46607531184265855</v>
      </c>
    </row>
    <row r="16" spans="2:14" ht="14.55" x14ac:dyDescent="0.35">
      <c r="B16" s="345" t="s">
        <v>11</v>
      </c>
      <c r="C16" s="331">
        <f>Chart!C20</f>
        <v>86860.800000000003</v>
      </c>
      <c r="D16" s="398" t="s">
        <v>293</v>
      </c>
      <c r="E16" s="313"/>
      <c r="G16" s="463" t="s">
        <v>11</v>
      </c>
      <c r="H16" s="462">
        <v>67246.144</v>
      </c>
      <c r="I16" s="469">
        <f t="shared" si="1"/>
        <v>19614.656000000003</v>
      </c>
      <c r="J16" s="474">
        <f t="shared" si="0"/>
        <v>0.29168447190072344</v>
      </c>
    </row>
    <row r="17" spans="2:11" ht="24.45" x14ac:dyDescent="0.35">
      <c r="B17" s="305" t="s">
        <v>17</v>
      </c>
      <c r="C17" s="331">
        <f>Chart!C14</f>
        <v>60923.199999999997</v>
      </c>
      <c r="D17" s="398" t="s">
        <v>293</v>
      </c>
      <c r="E17" s="313"/>
      <c r="G17" s="464" t="s">
        <v>17</v>
      </c>
      <c r="H17" s="462">
        <v>65000</v>
      </c>
      <c r="I17" s="469">
        <f t="shared" si="1"/>
        <v>-4076.8000000000029</v>
      </c>
      <c r="J17" s="474">
        <f t="shared" si="0"/>
        <v>-6.272000000000004E-2</v>
      </c>
    </row>
    <row r="18" spans="2:11" ht="14.55" x14ac:dyDescent="0.35">
      <c r="B18" s="305" t="s">
        <v>18</v>
      </c>
      <c r="C18" s="331">
        <f>Chart!C12</f>
        <v>52665.599999999999</v>
      </c>
      <c r="D18" s="398" t="s">
        <v>293</v>
      </c>
      <c r="E18" s="313"/>
      <c r="G18" s="464" t="s">
        <v>18</v>
      </c>
      <c r="H18" s="462">
        <v>60000</v>
      </c>
      <c r="I18" s="469">
        <f t="shared" si="1"/>
        <v>-7334.4000000000015</v>
      </c>
      <c r="J18" s="474">
        <f t="shared" si="0"/>
        <v>-0.12224000000000003</v>
      </c>
      <c r="K18" s="1"/>
    </row>
    <row r="19" spans="2:11" ht="14.55" x14ac:dyDescent="0.35">
      <c r="B19" s="305" t="s">
        <v>21</v>
      </c>
      <c r="C19" s="331">
        <f>Chart!C4</f>
        <v>32198.400000000001</v>
      </c>
      <c r="D19" s="398" t="s">
        <v>293</v>
      </c>
      <c r="E19" s="313"/>
      <c r="G19" s="464" t="s">
        <v>21</v>
      </c>
      <c r="H19" s="462">
        <v>33801</v>
      </c>
      <c r="I19" s="469">
        <f t="shared" si="1"/>
        <v>-1602.5999999999985</v>
      </c>
      <c r="J19" s="474">
        <f t="shared" si="0"/>
        <v>-4.7412798437915994E-2</v>
      </c>
      <c r="K19" s="2"/>
    </row>
    <row r="20" spans="2:11" ht="14.55" x14ac:dyDescent="0.35">
      <c r="B20" s="305" t="s">
        <v>19</v>
      </c>
      <c r="C20" s="331">
        <f>Chart!C6</f>
        <v>41516.800000000003</v>
      </c>
      <c r="D20" s="398" t="s">
        <v>293</v>
      </c>
      <c r="E20" s="313"/>
      <c r="G20" s="464" t="s">
        <v>19</v>
      </c>
      <c r="H20" s="462">
        <f>50000*(2.05%+1)*(2.76%+1)</f>
        <v>52433.29</v>
      </c>
      <c r="I20" s="469">
        <f t="shared" si="1"/>
        <v>-10916.489999999998</v>
      </c>
      <c r="J20" s="474">
        <f t="shared" si="0"/>
        <v>-0.20819769272536584</v>
      </c>
      <c r="K20" s="2"/>
    </row>
    <row r="21" spans="2:11" ht="24.45" x14ac:dyDescent="0.35">
      <c r="B21" s="305" t="s">
        <v>20</v>
      </c>
      <c r="C21" s="331">
        <f>Chart!C4</f>
        <v>32198.400000000001</v>
      </c>
      <c r="D21" s="398" t="s">
        <v>293</v>
      </c>
      <c r="E21" s="304"/>
      <c r="G21" s="464" t="s">
        <v>20</v>
      </c>
      <c r="H21" s="462">
        <v>38608</v>
      </c>
      <c r="I21" s="469">
        <f t="shared" si="1"/>
        <v>-6409.5999999999985</v>
      </c>
      <c r="J21" s="474">
        <f t="shared" si="0"/>
        <v>-0.16601740571902193</v>
      </c>
      <c r="K21" s="2"/>
    </row>
    <row r="22" spans="2:11" ht="15" thickBot="1" x14ac:dyDescent="0.4">
      <c r="B22" s="328" t="s">
        <v>12</v>
      </c>
      <c r="C22" s="332">
        <f>Chart!C4</f>
        <v>32198.400000000001</v>
      </c>
      <c r="D22" s="398" t="s">
        <v>293</v>
      </c>
      <c r="E22" s="304"/>
      <c r="G22" s="328" t="s">
        <v>12</v>
      </c>
      <c r="H22" s="332">
        <v>31200</v>
      </c>
      <c r="I22" s="469">
        <f t="shared" si="1"/>
        <v>998.40000000000146</v>
      </c>
      <c r="J22" s="474">
        <f t="shared" si="0"/>
        <v>3.2000000000000049E-2</v>
      </c>
      <c r="K22" s="2"/>
    </row>
    <row r="23" spans="2:11" ht="15" thickBot="1" x14ac:dyDescent="0.4">
      <c r="B23" s="713" t="s">
        <v>13</v>
      </c>
      <c r="C23" s="712"/>
      <c r="D23" s="338" t="s">
        <v>223</v>
      </c>
      <c r="E23" s="304"/>
      <c r="G23" s="711" t="s">
        <v>13</v>
      </c>
      <c r="H23" s="715"/>
      <c r="I23" s="467"/>
      <c r="J23" s="474"/>
      <c r="K23" s="2"/>
    </row>
    <row r="24" spans="2:11" ht="14.55" x14ac:dyDescent="0.35">
      <c r="B24" s="322" t="s">
        <v>26</v>
      </c>
      <c r="C24" s="333">
        <f>3393*(1+C34)</f>
        <v>3479.8608000000004</v>
      </c>
      <c r="D24" s="307"/>
      <c r="E24" s="306"/>
      <c r="G24" s="456" t="s">
        <v>26</v>
      </c>
      <c r="H24" s="465">
        <v>3393</v>
      </c>
      <c r="I24" s="470">
        <f>C24-H24</f>
        <v>86.860800000000381</v>
      </c>
      <c r="J24" s="474">
        <f>I24/H24</f>
        <v>2.5600000000000112E-2</v>
      </c>
      <c r="K24" s="3"/>
    </row>
    <row r="25" spans="2:11" ht="14.55" x14ac:dyDescent="0.35">
      <c r="B25" s="322" t="s">
        <v>15</v>
      </c>
      <c r="C25" s="333">
        <f>6809*(1+C34)</f>
        <v>6983.3104000000003</v>
      </c>
      <c r="D25" s="337" t="s">
        <v>27</v>
      </c>
      <c r="E25" s="306"/>
      <c r="G25" s="456" t="s">
        <v>15</v>
      </c>
      <c r="H25" s="465">
        <v>6809</v>
      </c>
      <c r="I25" s="470">
        <f t="shared" ref="I25:I30" si="2">C25-H25</f>
        <v>174.3104000000003</v>
      </c>
      <c r="J25" s="474">
        <f t="shared" ref="J25:J28" si="3">I25/H25</f>
        <v>2.5600000000000043E-2</v>
      </c>
    </row>
    <row r="26" spans="2:11" ht="14.55" x14ac:dyDescent="0.35">
      <c r="B26" s="322" t="s">
        <v>16</v>
      </c>
      <c r="C26" s="333">
        <f>1219*(1+C34)</f>
        <v>1250.2064</v>
      </c>
      <c r="D26" s="337"/>
      <c r="E26" s="306"/>
      <c r="G26" s="456" t="s">
        <v>16</v>
      </c>
      <c r="H26" s="465">
        <v>1219</v>
      </c>
      <c r="I26" s="470">
        <f t="shared" si="2"/>
        <v>31.206400000000031</v>
      </c>
      <c r="J26" s="474">
        <f t="shared" si="3"/>
        <v>2.5600000000000026E-2</v>
      </c>
    </row>
    <row r="27" spans="2:11" ht="14.55" x14ac:dyDescent="0.35">
      <c r="B27" s="322" t="s">
        <v>25</v>
      </c>
      <c r="C27" s="334">
        <f>18852*(1+C34)</f>
        <v>19334.611200000003</v>
      </c>
      <c r="D27" s="330" t="s">
        <v>24</v>
      </c>
      <c r="E27" s="306"/>
      <c r="G27" s="456" t="s">
        <v>25</v>
      </c>
      <c r="H27" s="334">
        <v>18852</v>
      </c>
      <c r="I27" s="470">
        <f t="shared" si="2"/>
        <v>482.61120000000301</v>
      </c>
      <c r="J27" s="474">
        <f t="shared" si="3"/>
        <v>2.5600000000000161E-2</v>
      </c>
    </row>
    <row r="28" spans="2:11" ht="14.55" x14ac:dyDescent="0.35">
      <c r="B28" s="322" t="s">
        <v>23</v>
      </c>
      <c r="C28" s="334">
        <f>5403*(1+C34)</f>
        <v>5541.3168000000005</v>
      </c>
      <c r="D28" s="337" t="s">
        <v>28</v>
      </c>
      <c r="E28" s="306"/>
      <c r="G28" s="456" t="s">
        <v>23</v>
      </c>
      <c r="H28" s="334">
        <v>5403</v>
      </c>
      <c r="I28" s="470">
        <f t="shared" si="2"/>
        <v>138.31680000000051</v>
      </c>
      <c r="J28" s="474">
        <f t="shared" si="3"/>
        <v>2.5600000000000095E-2</v>
      </c>
    </row>
    <row r="29" spans="2:11" x14ac:dyDescent="0.3">
      <c r="B29" s="322" t="s">
        <v>295</v>
      </c>
      <c r="C29" s="397">
        <v>3.7000000000000002E-3</v>
      </c>
      <c r="D29" s="337" t="s">
        <v>298</v>
      </c>
      <c r="E29" s="306"/>
      <c r="I29" s="470"/>
      <c r="J29" s="474"/>
    </row>
    <row r="30" spans="2:11" x14ac:dyDescent="0.3">
      <c r="B30" s="322" t="s">
        <v>14</v>
      </c>
      <c r="C30" s="335">
        <v>0.224</v>
      </c>
      <c r="D30" s="393" t="s">
        <v>294</v>
      </c>
      <c r="E30" s="306"/>
      <c r="G30" s="456" t="s">
        <v>14</v>
      </c>
      <c r="H30" s="335">
        <v>0.20200000000000001</v>
      </c>
      <c r="I30" s="475">
        <f t="shared" si="2"/>
        <v>2.1999999999999992E-2</v>
      </c>
      <c r="J30" s="474"/>
    </row>
    <row r="31" spans="2:11" ht="15" thickBot="1" x14ac:dyDescent="0.35">
      <c r="B31" s="321" t="s">
        <v>22</v>
      </c>
      <c r="C31" s="336">
        <v>0.1258</v>
      </c>
      <c r="D31" s="308"/>
      <c r="E31" s="306"/>
      <c r="G31" s="466" t="s">
        <v>22</v>
      </c>
      <c r="H31" s="336">
        <v>0.1258</v>
      </c>
      <c r="I31" s="471">
        <f>H31-C31</f>
        <v>0</v>
      </c>
      <c r="J31" s="474"/>
    </row>
    <row r="32" spans="2:11" ht="15" thickBot="1" x14ac:dyDescent="0.35">
      <c r="B32" s="707" t="s">
        <v>228</v>
      </c>
      <c r="C32" s="708"/>
      <c r="D32" s="714"/>
      <c r="E32" s="306"/>
    </row>
    <row r="33" spans="2:12" ht="15" thickBot="1" x14ac:dyDescent="0.35">
      <c r="B33" s="341"/>
      <c r="C33" s="342"/>
      <c r="D33" s="323"/>
      <c r="E33" s="306"/>
      <c r="G33" s="707" t="s">
        <v>228</v>
      </c>
      <c r="H33" s="708"/>
      <c r="I33" s="708"/>
    </row>
    <row r="34" spans="2:12" ht="15" thickBot="1" x14ac:dyDescent="0.35">
      <c r="B34" s="324" t="s">
        <v>229</v>
      </c>
      <c r="C34" s="325">
        <v>2.5600000000000001E-2</v>
      </c>
      <c r="D34" s="326" t="s">
        <v>222</v>
      </c>
      <c r="G34" s="341"/>
      <c r="H34" s="342"/>
      <c r="I34" s="323"/>
    </row>
    <row r="35" spans="2:12" ht="15" thickBot="1" x14ac:dyDescent="0.35">
      <c r="B35" s="324" t="s">
        <v>292</v>
      </c>
      <c r="C35" s="325">
        <f>'CAF 2020 Spring '!BY38</f>
        <v>2.3997532813331963E-2</v>
      </c>
      <c r="D35" s="326" t="s">
        <v>297</v>
      </c>
      <c r="G35" s="324" t="s">
        <v>229</v>
      </c>
      <c r="H35" s="325">
        <v>2.5600000000000001E-2</v>
      </c>
      <c r="I35" s="472"/>
    </row>
    <row r="36" spans="2:12" x14ac:dyDescent="0.3">
      <c r="D36" s="207" t="s">
        <v>118</v>
      </c>
    </row>
    <row r="39" spans="2:12" ht="15" thickBot="1" x14ac:dyDescent="0.35"/>
    <row r="40" spans="2:12" x14ac:dyDescent="0.3">
      <c r="B40" s="476" t="s">
        <v>306</v>
      </c>
      <c r="C40" s="477"/>
      <c r="D40" s="477"/>
      <c r="E40" s="478"/>
      <c r="F40" s="478"/>
      <c r="G40" s="478"/>
      <c r="H40" s="478"/>
      <c r="I40" s="478"/>
      <c r="J40" s="478"/>
      <c r="K40" s="478"/>
      <c r="L40" s="479"/>
    </row>
    <row r="41" spans="2:12" x14ac:dyDescent="0.3">
      <c r="B41" s="480" t="s">
        <v>307</v>
      </c>
      <c r="C41" s="481"/>
      <c r="D41" s="481"/>
      <c r="E41" s="482"/>
      <c r="F41" s="482"/>
      <c r="G41" s="482"/>
      <c r="H41" s="482"/>
      <c r="I41" s="482"/>
      <c r="J41" s="482"/>
      <c r="K41" s="482"/>
      <c r="L41" s="483"/>
    </row>
    <row r="42" spans="2:12" x14ac:dyDescent="0.3">
      <c r="B42" s="480" t="s">
        <v>312</v>
      </c>
      <c r="C42" s="481"/>
      <c r="D42" s="481"/>
      <c r="E42" s="482"/>
      <c r="F42" s="482"/>
      <c r="G42" s="482"/>
      <c r="H42" s="482"/>
      <c r="I42" s="482"/>
      <c r="J42" s="482"/>
      <c r="K42" s="482"/>
      <c r="L42" s="483"/>
    </row>
    <row r="43" spans="2:12" x14ac:dyDescent="0.3">
      <c r="B43" s="480" t="s">
        <v>308</v>
      </c>
      <c r="C43" s="481"/>
      <c r="D43" s="481"/>
      <c r="E43" s="482"/>
      <c r="F43" s="482"/>
      <c r="G43" s="482"/>
      <c r="H43" s="482"/>
      <c r="I43" s="482"/>
      <c r="J43" s="482"/>
      <c r="K43" s="482"/>
      <c r="L43" s="483"/>
    </row>
    <row r="44" spans="2:12" x14ac:dyDescent="0.3">
      <c r="B44" s="480" t="s">
        <v>314</v>
      </c>
      <c r="C44" s="481"/>
      <c r="D44" s="481"/>
      <c r="E44" s="482"/>
      <c r="F44" s="482"/>
      <c r="G44" s="482"/>
      <c r="H44" s="482"/>
      <c r="I44" s="482"/>
      <c r="J44" s="482"/>
      <c r="K44" s="482"/>
      <c r="L44" s="483"/>
    </row>
    <row r="45" spans="2:12" x14ac:dyDescent="0.3">
      <c r="B45" s="480" t="s">
        <v>313</v>
      </c>
      <c r="C45" s="481"/>
      <c r="D45" s="481"/>
      <c r="E45" s="482"/>
      <c r="F45" s="482"/>
      <c r="G45" s="482"/>
      <c r="H45" s="482"/>
      <c r="I45" s="482"/>
      <c r="J45" s="482"/>
      <c r="K45" s="482"/>
      <c r="L45" s="483"/>
    </row>
    <row r="46" spans="2:12" x14ac:dyDescent="0.3">
      <c r="B46" s="480" t="s">
        <v>315</v>
      </c>
      <c r="C46" s="481"/>
      <c r="D46" s="481"/>
      <c r="E46" s="482"/>
      <c r="F46" s="482"/>
      <c r="G46" s="482"/>
      <c r="H46" s="482"/>
      <c r="I46" s="482"/>
      <c r="J46" s="482"/>
      <c r="K46" s="482"/>
      <c r="L46" s="483"/>
    </row>
    <row r="47" spans="2:12" ht="15" thickBot="1" x14ac:dyDescent="0.35">
      <c r="B47" s="484"/>
      <c r="C47" s="485"/>
      <c r="D47" s="485"/>
      <c r="E47" s="486"/>
      <c r="F47" s="486"/>
      <c r="G47" s="486"/>
      <c r="H47" s="486"/>
      <c r="I47" s="486"/>
      <c r="J47" s="486"/>
      <c r="K47" s="486"/>
      <c r="L47" s="487"/>
    </row>
  </sheetData>
  <mergeCells count="8">
    <mergeCell ref="G33:I33"/>
    <mergeCell ref="E3:F3"/>
    <mergeCell ref="K8:N8"/>
    <mergeCell ref="B11:C11"/>
    <mergeCell ref="B23:C23"/>
    <mergeCell ref="B32:D32"/>
    <mergeCell ref="G11:H11"/>
    <mergeCell ref="G23:H23"/>
  </mergeCells>
  <pageMargins left="0.25" right="0.25" top="0.75" bottom="0.75" header="0.3" footer="0.3"/>
  <pageSetup fitToHeight="0" orientation="portrait" cellComments="asDisplayed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7"/>
  <sheetViews>
    <sheetView workbookViewId="0">
      <selection activeCell="M11" sqref="M11"/>
    </sheetView>
  </sheetViews>
  <sheetFormatPr defaultRowHeight="13.2" x14ac:dyDescent="0.25"/>
  <cols>
    <col min="1" max="1" width="38.44140625" style="256" customWidth="1"/>
    <col min="2" max="2" width="12.88671875" style="257" customWidth="1"/>
    <col min="3" max="74" width="10.33203125" style="256" customWidth="1"/>
    <col min="75" max="256" width="9.109375" style="256"/>
    <col min="257" max="257" width="38.44140625" style="256" customWidth="1"/>
    <col min="258" max="258" width="12.88671875" style="256" customWidth="1"/>
    <col min="259" max="330" width="10.33203125" style="256" customWidth="1"/>
    <col min="331" max="512" width="9.109375" style="256"/>
    <col min="513" max="513" width="38.44140625" style="256" customWidth="1"/>
    <col min="514" max="514" width="12.88671875" style="256" customWidth="1"/>
    <col min="515" max="586" width="10.33203125" style="256" customWidth="1"/>
    <col min="587" max="768" width="9.109375" style="256"/>
    <col min="769" max="769" width="38.44140625" style="256" customWidth="1"/>
    <col min="770" max="770" width="12.88671875" style="256" customWidth="1"/>
    <col min="771" max="842" width="10.33203125" style="256" customWidth="1"/>
    <col min="843" max="1024" width="9.109375" style="256"/>
    <col min="1025" max="1025" width="38.44140625" style="256" customWidth="1"/>
    <col min="1026" max="1026" width="12.88671875" style="256" customWidth="1"/>
    <col min="1027" max="1098" width="10.33203125" style="256" customWidth="1"/>
    <col min="1099" max="1280" width="9.109375" style="256"/>
    <col min="1281" max="1281" width="38.44140625" style="256" customWidth="1"/>
    <col min="1282" max="1282" width="12.88671875" style="256" customWidth="1"/>
    <col min="1283" max="1354" width="10.33203125" style="256" customWidth="1"/>
    <col min="1355" max="1536" width="9.109375" style="256"/>
    <col min="1537" max="1537" width="38.44140625" style="256" customWidth="1"/>
    <col min="1538" max="1538" width="12.88671875" style="256" customWidth="1"/>
    <col min="1539" max="1610" width="10.33203125" style="256" customWidth="1"/>
    <col min="1611" max="1792" width="9.109375" style="256"/>
    <col min="1793" max="1793" width="38.44140625" style="256" customWidth="1"/>
    <col min="1794" max="1794" width="12.88671875" style="256" customWidth="1"/>
    <col min="1795" max="1866" width="10.33203125" style="256" customWidth="1"/>
    <col min="1867" max="2048" width="9.109375" style="256"/>
    <col min="2049" max="2049" width="38.44140625" style="256" customWidth="1"/>
    <col min="2050" max="2050" width="12.88671875" style="256" customWidth="1"/>
    <col min="2051" max="2122" width="10.33203125" style="256" customWidth="1"/>
    <col min="2123" max="2304" width="9.109375" style="256"/>
    <col min="2305" max="2305" width="38.44140625" style="256" customWidth="1"/>
    <col min="2306" max="2306" width="12.88671875" style="256" customWidth="1"/>
    <col min="2307" max="2378" width="10.33203125" style="256" customWidth="1"/>
    <col min="2379" max="2560" width="9.109375" style="256"/>
    <col min="2561" max="2561" width="38.44140625" style="256" customWidth="1"/>
    <col min="2562" max="2562" width="12.88671875" style="256" customWidth="1"/>
    <col min="2563" max="2634" width="10.33203125" style="256" customWidth="1"/>
    <col min="2635" max="2816" width="9.109375" style="256"/>
    <col min="2817" max="2817" width="38.44140625" style="256" customWidth="1"/>
    <col min="2818" max="2818" width="12.88671875" style="256" customWidth="1"/>
    <col min="2819" max="2890" width="10.33203125" style="256" customWidth="1"/>
    <col min="2891" max="3072" width="9.109375" style="256"/>
    <col min="3073" max="3073" width="38.44140625" style="256" customWidth="1"/>
    <col min="3074" max="3074" width="12.88671875" style="256" customWidth="1"/>
    <col min="3075" max="3146" width="10.33203125" style="256" customWidth="1"/>
    <col min="3147" max="3328" width="9.109375" style="256"/>
    <col min="3329" max="3329" width="38.44140625" style="256" customWidth="1"/>
    <col min="3330" max="3330" width="12.88671875" style="256" customWidth="1"/>
    <col min="3331" max="3402" width="10.33203125" style="256" customWidth="1"/>
    <col min="3403" max="3584" width="9.109375" style="256"/>
    <col min="3585" max="3585" width="38.44140625" style="256" customWidth="1"/>
    <col min="3586" max="3586" width="12.88671875" style="256" customWidth="1"/>
    <col min="3587" max="3658" width="10.33203125" style="256" customWidth="1"/>
    <col min="3659" max="3840" width="9.109375" style="256"/>
    <col min="3841" max="3841" width="38.44140625" style="256" customWidth="1"/>
    <col min="3842" max="3842" width="12.88671875" style="256" customWidth="1"/>
    <col min="3843" max="3914" width="10.33203125" style="256" customWidth="1"/>
    <col min="3915" max="4096" width="9.109375" style="256"/>
    <col min="4097" max="4097" width="38.44140625" style="256" customWidth="1"/>
    <col min="4098" max="4098" width="12.88671875" style="256" customWidth="1"/>
    <col min="4099" max="4170" width="10.33203125" style="256" customWidth="1"/>
    <col min="4171" max="4352" width="9.109375" style="256"/>
    <col min="4353" max="4353" width="38.44140625" style="256" customWidth="1"/>
    <col min="4354" max="4354" width="12.88671875" style="256" customWidth="1"/>
    <col min="4355" max="4426" width="10.33203125" style="256" customWidth="1"/>
    <col min="4427" max="4608" width="9.109375" style="256"/>
    <col min="4609" max="4609" width="38.44140625" style="256" customWidth="1"/>
    <col min="4610" max="4610" width="12.88671875" style="256" customWidth="1"/>
    <col min="4611" max="4682" width="10.33203125" style="256" customWidth="1"/>
    <col min="4683" max="4864" width="9.109375" style="256"/>
    <col min="4865" max="4865" width="38.44140625" style="256" customWidth="1"/>
    <col min="4866" max="4866" width="12.88671875" style="256" customWidth="1"/>
    <col min="4867" max="4938" width="10.33203125" style="256" customWidth="1"/>
    <col min="4939" max="5120" width="9.109375" style="256"/>
    <col min="5121" max="5121" width="38.44140625" style="256" customWidth="1"/>
    <col min="5122" max="5122" width="12.88671875" style="256" customWidth="1"/>
    <col min="5123" max="5194" width="10.33203125" style="256" customWidth="1"/>
    <col min="5195" max="5376" width="9.109375" style="256"/>
    <col min="5377" max="5377" width="38.44140625" style="256" customWidth="1"/>
    <col min="5378" max="5378" width="12.88671875" style="256" customWidth="1"/>
    <col min="5379" max="5450" width="10.33203125" style="256" customWidth="1"/>
    <col min="5451" max="5632" width="9.109375" style="256"/>
    <col min="5633" max="5633" width="38.44140625" style="256" customWidth="1"/>
    <col min="5634" max="5634" width="12.88671875" style="256" customWidth="1"/>
    <col min="5635" max="5706" width="10.33203125" style="256" customWidth="1"/>
    <col min="5707" max="5888" width="9.109375" style="256"/>
    <col min="5889" max="5889" width="38.44140625" style="256" customWidth="1"/>
    <col min="5890" max="5890" width="12.88671875" style="256" customWidth="1"/>
    <col min="5891" max="5962" width="10.33203125" style="256" customWidth="1"/>
    <col min="5963" max="6144" width="9.109375" style="256"/>
    <col min="6145" max="6145" width="38.44140625" style="256" customWidth="1"/>
    <col min="6146" max="6146" width="12.88671875" style="256" customWidth="1"/>
    <col min="6147" max="6218" width="10.33203125" style="256" customWidth="1"/>
    <col min="6219" max="6400" width="9.109375" style="256"/>
    <col min="6401" max="6401" width="38.44140625" style="256" customWidth="1"/>
    <col min="6402" max="6402" width="12.88671875" style="256" customWidth="1"/>
    <col min="6403" max="6474" width="10.33203125" style="256" customWidth="1"/>
    <col min="6475" max="6656" width="9.109375" style="256"/>
    <col min="6657" max="6657" width="38.44140625" style="256" customWidth="1"/>
    <col min="6658" max="6658" width="12.88671875" style="256" customWidth="1"/>
    <col min="6659" max="6730" width="10.33203125" style="256" customWidth="1"/>
    <col min="6731" max="6912" width="9.109375" style="256"/>
    <col min="6913" max="6913" width="38.44140625" style="256" customWidth="1"/>
    <col min="6914" max="6914" width="12.88671875" style="256" customWidth="1"/>
    <col min="6915" max="6986" width="10.33203125" style="256" customWidth="1"/>
    <col min="6987" max="7168" width="9.109375" style="256"/>
    <col min="7169" max="7169" width="38.44140625" style="256" customWidth="1"/>
    <col min="7170" max="7170" width="12.88671875" style="256" customWidth="1"/>
    <col min="7171" max="7242" width="10.33203125" style="256" customWidth="1"/>
    <col min="7243" max="7424" width="9.109375" style="256"/>
    <col min="7425" max="7425" width="38.44140625" style="256" customWidth="1"/>
    <col min="7426" max="7426" width="12.88671875" style="256" customWidth="1"/>
    <col min="7427" max="7498" width="10.33203125" style="256" customWidth="1"/>
    <col min="7499" max="7680" width="9.109375" style="256"/>
    <col min="7681" max="7681" width="38.44140625" style="256" customWidth="1"/>
    <col min="7682" max="7682" width="12.88671875" style="256" customWidth="1"/>
    <col min="7683" max="7754" width="10.33203125" style="256" customWidth="1"/>
    <col min="7755" max="7936" width="9.109375" style="256"/>
    <col min="7937" max="7937" width="38.44140625" style="256" customWidth="1"/>
    <col min="7938" max="7938" width="12.88671875" style="256" customWidth="1"/>
    <col min="7939" max="8010" width="10.33203125" style="256" customWidth="1"/>
    <col min="8011" max="8192" width="9.109375" style="256"/>
    <col min="8193" max="8193" width="38.44140625" style="256" customWidth="1"/>
    <col min="8194" max="8194" width="12.88671875" style="256" customWidth="1"/>
    <col min="8195" max="8266" width="10.33203125" style="256" customWidth="1"/>
    <col min="8267" max="8448" width="9.109375" style="256"/>
    <col min="8449" max="8449" width="38.44140625" style="256" customWidth="1"/>
    <col min="8450" max="8450" width="12.88671875" style="256" customWidth="1"/>
    <col min="8451" max="8522" width="10.33203125" style="256" customWidth="1"/>
    <col min="8523" max="8704" width="9.109375" style="256"/>
    <col min="8705" max="8705" width="38.44140625" style="256" customWidth="1"/>
    <col min="8706" max="8706" width="12.88671875" style="256" customWidth="1"/>
    <col min="8707" max="8778" width="10.33203125" style="256" customWidth="1"/>
    <col min="8779" max="8960" width="9.109375" style="256"/>
    <col min="8961" max="8961" width="38.44140625" style="256" customWidth="1"/>
    <col min="8962" max="8962" width="12.88671875" style="256" customWidth="1"/>
    <col min="8963" max="9034" width="10.33203125" style="256" customWidth="1"/>
    <col min="9035" max="9216" width="9.109375" style="256"/>
    <col min="9217" max="9217" width="38.44140625" style="256" customWidth="1"/>
    <col min="9218" max="9218" width="12.88671875" style="256" customWidth="1"/>
    <col min="9219" max="9290" width="10.33203125" style="256" customWidth="1"/>
    <col min="9291" max="9472" width="9.109375" style="256"/>
    <col min="9473" max="9473" width="38.44140625" style="256" customWidth="1"/>
    <col min="9474" max="9474" width="12.88671875" style="256" customWidth="1"/>
    <col min="9475" max="9546" width="10.33203125" style="256" customWidth="1"/>
    <col min="9547" max="9728" width="9.109375" style="256"/>
    <col min="9729" max="9729" width="38.44140625" style="256" customWidth="1"/>
    <col min="9730" max="9730" width="12.88671875" style="256" customWidth="1"/>
    <col min="9731" max="9802" width="10.33203125" style="256" customWidth="1"/>
    <col min="9803" max="9984" width="9.109375" style="256"/>
    <col min="9985" max="9985" width="38.44140625" style="256" customWidth="1"/>
    <col min="9986" max="9986" width="12.88671875" style="256" customWidth="1"/>
    <col min="9987" max="10058" width="10.33203125" style="256" customWidth="1"/>
    <col min="10059" max="10240" width="9.109375" style="256"/>
    <col min="10241" max="10241" width="38.44140625" style="256" customWidth="1"/>
    <col min="10242" max="10242" width="12.88671875" style="256" customWidth="1"/>
    <col min="10243" max="10314" width="10.33203125" style="256" customWidth="1"/>
    <col min="10315" max="10496" width="9.109375" style="256"/>
    <col min="10497" max="10497" width="38.44140625" style="256" customWidth="1"/>
    <col min="10498" max="10498" width="12.88671875" style="256" customWidth="1"/>
    <col min="10499" max="10570" width="10.33203125" style="256" customWidth="1"/>
    <col min="10571" max="10752" width="9.109375" style="256"/>
    <col min="10753" max="10753" width="38.44140625" style="256" customWidth="1"/>
    <col min="10754" max="10754" width="12.88671875" style="256" customWidth="1"/>
    <col min="10755" max="10826" width="10.33203125" style="256" customWidth="1"/>
    <col min="10827" max="11008" width="9.109375" style="256"/>
    <col min="11009" max="11009" width="38.44140625" style="256" customWidth="1"/>
    <col min="11010" max="11010" width="12.88671875" style="256" customWidth="1"/>
    <col min="11011" max="11082" width="10.33203125" style="256" customWidth="1"/>
    <col min="11083" max="11264" width="9.109375" style="256"/>
    <col min="11265" max="11265" width="38.44140625" style="256" customWidth="1"/>
    <col min="11266" max="11266" width="12.88671875" style="256" customWidth="1"/>
    <col min="11267" max="11338" width="10.33203125" style="256" customWidth="1"/>
    <col min="11339" max="11520" width="9.109375" style="256"/>
    <col min="11521" max="11521" width="38.44140625" style="256" customWidth="1"/>
    <col min="11522" max="11522" width="12.88671875" style="256" customWidth="1"/>
    <col min="11523" max="11594" width="10.33203125" style="256" customWidth="1"/>
    <col min="11595" max="11776" width="9.109375" style="256"/>
    <col min="11777" max="11777" width="38.44140625" style="256" customWidth="1"/>
    <col min="11778" max="11778" width="12.88671875" style="256" customWidth="1"/>
    <col min="11779" max="11850" width="10.33203125" style="256" customWidth="1"/>
    <col min="11851" max="12032" width="9.109375" style="256"/>
    <col min="12033" max="12033" width="38.44140625" style="256" customWidth="1"/>
    <col min="12034" max="12034" width="12.88671875" style="256" customWidth="1"/>
    <col min="12035" max="12106" width="10.33203125" style="256" customWidth="1"/>
    <col min="12107" max="12288" width="9.109375" style="256"/>
    <col min="12289" max="12289" width="38.44140625" style="256" customWidth="1"/>
    <col min="12290" max="12290" width="12.88671875" style="256" customWidth="1"/>
    <col min="12291" max="12362" width="10.33203125" style="256" customWidth="1"/>
    <col min="12363" max="12544" width="9.109375" style="256"/>
    <col min="12545" max="12545" width="38.44140625" style="256" customWidth="1"/>
    <col min="12546" max="12546" width="12.88671875" style="256" customWidth="1"/>
    <col min="12547" max="12618" width="10.33203125" style="256" customWidth="1"/>
    <col min="12619" max="12800" width="9.109375" style="256"/>
    <col min="12801" max="12801" width="38.44140625" style="256" customWidth="1"/>
    <col min="12802" max="12802" width="12.88671875" style="256" customWidth="1"/>
    <col min="12803" max="12874" width="10.33203125" style="256" customWidth="1"/>
    <col min="12875" max="13056" width="9.109375" style="256"/>
    <col min="13057" max="13057" width="38.44140625" style="256" customWidth="1"/>
    <col min="13058" max="13058" width="12.88671875" style="256" customWidth="1"/>
    <col min="13059" max="13130" width="10.33203125" style="256" customWidth="1"/>
    <col min="13131" max="13312" width="9.109375" style="256"/>
    <col min="13313" max="13313" width="38.44140625" style="256" customWidth="1"/>
    <col min="13314" max="13314" width="12.88671875" style="256" customWidth="1"/>
    <col min="13315" max="13386" width="10.33203125" style="256" customWidth="1"/>
    <col min="13387" max="13568" width="9.109375" style="256"/>
    <col min="13569" max="13569" width="38.44140625" style="256" customWidth="1"/>
    <col min="13570" max="13570" width="12.88671875" style="256" customWidth="1"/>
    <col min="13571" max="13642" width="10.33203125" style="256" customWidth="1"/>
    <col min="13643" max="13824" width="9.109375" style="256"/>
    <col min="13825" max="13825" width="38.44140625" style="256" customWidth="1"/>
    <col min="13826" max="13826" width="12.88671875" style="256" customWidth="1"/>
    <col min="13827" max="13898" width="10.33203125" style="256" customWidth="1"/>
    <col min="13899" max="14080" width="9.109375" style="256"/>
    <col min="14081" max="14081" width="38.44140625" style="256" customWidth="1"/>
    <col min="14082" max="14082" width="12.88671875" style="256" customWidth="1"/>
    <col min="14083" max="14154" width="10.33203125" style="256" customWidth="1"/>
    <col min="14155" max="14336" width="9.109375" style="256"/>
    <col min="14337" max="14337" width="38.44140625" style="256" customWidth="1"/>
    <col min="14338" max="14338" width="12.88671875" style="256" customWidth="1"/>
    <col min="14339" max="14410" width="10.33203125" style="256" customWidth="1"/>
    <col min="14411" max="14592" width="9.109375" style="256"/>
    <col min="14593" max="14593" width="38.44140625" style="256" customWidth="1"/>
    <col min="14594" max="14594" width="12.88671875" style="256" customWidth="1"/>
    <col min="14595" max="14666" width="10.33203125" style="256" customWidth="1"/>
    <col min="14667" max="14848" width="9.109375" style="256"/>
    <col min="14849" max="14849" width="38.44140625" style="256" customWidth="1"/>
    <col min="14850" max="14850" width="12.88671875" style="256" customWidth="1"/>
    <col min="14851" max="14922" width="10.33203125" style="256" customWidth="1"/>
    <col min="14923" max="15104" width="9.109375" style="256"/>
    <col min="15105" max="15105" width="38.44140625" style="256" customWidth="1"/>
    <col min="15106" max="15106" width="12.88671875" style="256" customWidth="1"/>
    <col min="15107" max="15178" width="10.33203125" style="256" customWidth="1"/>
    <col min="15179" max="15360" width="9.109375" style="256"/>
    <col min="15361" max="15361" width="38.44140625" style="256" customWidth="1"/>
    <col min="15362" max="15362" width="12.88671875" style="256" customWidth="1"/>
    <col min="15363" max="15434" width="10.33203125" style="256" customWidth="1"/>
    <col min="15435" max="15616" width="9.109375" style="256"/>
    <col min="15617" max="15617" width="38.44140625" style="256" customWidth="1"/>
    <col min="15618" max="15618" width="12.88671875" style="256" customWidth="1"/>
    <col min="15619" max="15690" width="10.33203125" style="256" customWidth="1"/>
    <col min="15691" max="15872" width="9.109375" style="256"/>
    <col min="15873" max="15873" width="38.44140625" style="256" customWidth="1"/>
    <col min="15874" max="15874" width="12.88671875" style="256" customWidth="1"/>
    <col min="15875" max="15946" width="10.33203125" style="256" customWidth="1"/>
    <col min="15947" max="16128" width="9.109375" style="256"/>
    <col min="16129" max="16129" width="38.44140625" style="256" customWidth="1"/>
    <col min="16130" max="16130" width="12.88671875" style="256" customWidth="1"/>
    <col min="16131" max="16202" width="10.33203125" style="256" customWidth="1"/>
    <col min="16203" max="16384" width="9.109375" style="256"/>
  </cols>
  <sheetData>
    <row r="1" spans="1:75" ht="18" x14ac:dyDescent="0.4">
      <c r="A1" s="716" t="s">
        <v>125</v>
      </c>
      <c r="B1" s="717"/>
    </row>
    <row r="2" spans="1:75" ht="15.45" x14ac:dyDescent="0.35">
      <c r="A2" s="718" t="s">
        <v>126</v>
      </c>
      <c r="B2" s="719"/>
    </row>
    <row r="3" spans="1:75" ht="14.55" thickBot="1" x14ac:dyDescent="0.35">
      <c r="A3" s="720" t="s">
        <v>127</v>
      </c>
      <c r="B3" s="721"/>
    </row>
    <row r="6" spans="1:75" ht="13.05" x14ac:dyDescent="0.3">
      <c r="AW6" s="258" t="s">
        <v>128</v>
      </c>
      <c r="AX6" s="259" t="s">
        <v>128</v>
      </c>
      <c r="AY6" s="259" t="s">
        <v>128</v>
      </c>
      <c r="AZ6" s="259" t="s">
        <v>128</v>
      </c>
      <c r="BA6" s="260" t="s">
        <v>129</v>
      </c>
      <c r="BB6" s="260" t="s">
        <v>129</v>
      </c>
      <c r="BC6" s="260" t="s">
        <v>129</v>
      </c>
      <c r="BD6" s="260" t="s">
        <v>129</v>
      </c>
      <c r="BE6" s="261" t="s">
        <v>130</v>
      </c>
      <c r="BF6" s="261" t="s">
        <v>130</v>
      </c>
      <c r="BG6" s="261" t="s">
        <v>130</v>
      </c>
      <c r="BH6" s="261" t="s">
        <v>130</v>
      </c>
      <c r="BI6" s="262" t="s">
        <v>131</v>
      </c>
      <c r="BJ6" s="262" t="s">
        <v>131</v>
      </c>
      <c r="BK6" s="262" t="s">
        <v>131</v>
      </c>
      <c r="BL6" s="262" t="s">
        <v>131</v>
      </c>
      <c r="BM6" s="263" t="s">
        <v>132</v>
      </c>
      <c r="BN6" s="263" t="s">
        <v>132</v>
      </c>
      <c r="BO6" s="263" t="s">
        <v>132</v>
      </c>
      <c r="BP6" s="263" t="s">
        <v>132</v>
      </c>
      <c r="BQ6" s="264" t="s">
        <v>133</v>
      </c>
      <c r="BR6" s="264" t="s">
        <v>133</v>
      </c>
      <c r="BS6" s="264" t="s">
        <v>133</v>
      </c>
      <c r="BT6" s="264" t="s">
        <v>133</v>
      </c>
    </row>
    <row r="7" spans="1:75" s="257" customFormat="1" ht="13.05" x14ac:dyDescent="0.3">
      <c r="B7" s="257" t="s">
        <v>134</v>
      </c>
      <c r="C7" s="265" t="s">
        <v>135</v>
      </c>
      <c r="D7" s="265" t="s">
        <v>136</v>
      </c>
      <c r="E7" s="265" t="s">
        <v>137</v>
      </c>
      <c r="F7" s="265" t="s">
        <v>138</v>
      </c>
      <c r="G7" s="265" t="s">
        <v>139</v>
      </c>
      <c r="H7" s="265" t="s">
        <v>140</v>
      </c>
      <c r="I7" s="265" t="s">
        <v>141</v>
      </c>
      <c r="J7" s="265" t="s">
        <v>142</v>
      </c>
      <c r="K7" s="265" t="s">
        <v>143</v>
      </c>
      <c r="L7" s="265" t="s">
        <v>144</v>
      </c>
      <c r="M7" s="265" t="s">
        <v>145</v>
      </c>
      <c r="N7" s="265" t="s">
        <v>146</v>
      </c>
      <c r="O7" s="265" t="s">
        <v>147</v>
      </c>
      <c r="P7" s="265" t="s">
        <v>148</v>
      </c>
      <c r="Q7" s="265" t="s">
        <v>149</v>
      </c>
      <c r="R7" s="265" t="s">
        <v>150</v>
      </c>
      <c r="S7" s="265" t="s">
        <v>151</v>
      </c>
      <c r="T7" s="265" t="s">
        <v>152</v>
      </c>
      <c r="U7" s="265" t="s">
        <v>153</v>
      </c>
      <c r="V7" s="265" t="s">
        <v>154</v>
      </c>
      <c r="W7" s="265" t="s">
        <v>155</v>
      </c>
      <c r="X7" s="265" t="s">
        <v>156</v>
      </c>
      <c r="Y7" s="265" t="s">
        <v>157</v>
      </c>
      <c r="Z7" s="265" t="s">
        <v>158</v>
      </c>
      <c r="AA7" s="265" t="s">
        <v>159</v>
      </c>
      <c r="AB7" s="265" t="s">
        <v>160</v>
      </c>
      <c r="AC7" s="265" t="s">
        <v>161</v>
      </c>
      <c r="AD7" s="265" t="s">
        <v>162</v>
      </c>
      <c r="AE7" s="265" t="s">
        <v>163</v>
      </c>
      <c r="AF7" s="265" t="s">
        <v>164</v>
      </c>
      <c r="AG7" s="265" t="s">
        <v>165</v>
      </c>
      <c r="AH7" s="265" t="s">
        <v>166</v>
      </c>
      <c r="AI7" s="265" t="s">
        <v>167</v>
      </c>
      <c r="AJ7" s="265" t="s">
        <v>168</v>
      </c>
      <c r="AK7" s="265" t="s">
        <v>169</v>
      </c>
      <c r="AL7" s="265" t="s">
        <v>170</v>
      </c>
      <c r="AM7" s="265" t="s">
        <v>171</v>
      </c>
      <c r="AN7" s="265" t="s">
        <v>172</v>
      </c>
      <c r="AO7" s="265" t="s">
        <v>173</v>
      </c>
      <c r="AP7" s="265" t="s">
        <v>174</v>
      </c>
      <c r="AQ7" s="265" t="s">
        <v>175</v>
      </c>
      <c r="AR7" s="265" t="s">
        <v>176</v>
      </c>
      <c r="AS7" s="265" t="s">
        <v>177</v>
      </c>
      <c r="AT7" s="265" t="s">
        <v>178</v>
      </c>
      <c r="AU7" s="257" t="s">
        <v>179</v>
      </c>
      <c r="AV7" s="257" t="s">
        <v>180</v>
      </c>
      <c r="AW7" s="257" t="s">
        <v>181</v>
      </c>
      <c r="AX7" s="257" t="s">
        <v>182</v>
      </c>
      <c r="AY7" s="257" t="s">
        <v>183</v>
      </c>
      <c r="AZ7" s="257" t="s">
        <v>184</v>
      </c>
      <c r="BA7" s="257" t="s">
        <v>185</v>
      </c>
      <c r="BB7" s="257" t="s">
        <v>186</v>
      </c>
      <c r="BC7" s="257" t="s">
        <v>187</v>
      </c>
      <c r="BD7" s="257" t="s">
        <v>188</v>
      </c>
      <c r="BE7" s="257" t="s">
        <v>189</v>
      </c>
      <c r="BF7" s="257" t="s">
        <v>190</v>
      </c>
      <c r="BG7" s="257" t="s">
        <v>191</v>
      </c>
      <c r="BH7" s="257" t="s">
        <v>192</v>
      </c>
      <c r="BI7" s="257" t="s">
        <v>193</v>
      </c>
      <c r="BJ7" s="257" t="s">
        <v>194</v>
      </c>
      <c r="BK7" s="257" t="s">
        <v>195</v>
      </c>
      <c r="BL7" s="257" t="s">
        <v>196</v>
      </c>
      <c r="BM7" s="257" t="s">
        <v>197</v>
      </c>
      <c r="BN7" s="257" t="s">
        <v>198</v>
      </c>
      <c r="BO7" s="257" t="s">
        <v>199</v>
      </c>
      <c r="BP7" s="257" t="s">
        <v>200</v>
      </c>
      <c r="BQ7" s="257" t="s">
        <v>201</v>
      </c>
      <c r="BR7" s="257" t="s">
        <v>202</v>
      </c>
      <c r="BS7" s="257" t="s">
        <v>203</v>
      </c>
      <c r="BT7" s="257" t="s">
        <v>204</v>
      </c>
      <c r="BU7" s="257" t="s">
        <v>205</v>
      </c>
      <c r="BV7" s="257" t="s">
        <v>206</v>
      </c>
      <c r="BW7" s="257" t="s">
        <v>207</v>
      </c>
    </row>
    <row r="8" spans="1:75" ht="13.05" x14ac:dyDescent="0.3">
      <c r="A8" s="257" t="s">
        <v>208</v>
      </c>
      <c r="B8" s="257" t="s">
        <v>209</v>
      </c>
      <c r="C8" s="266">
        <v>2.0350000000000001</v>
      </c>
      <c r="D8" s="266">
        <v>2.06</v>
      </c>
      <c r="E8" s="266">
        <v>2.0640000000000001</v>
      </c>
      <c r="F8" s="266">
        <v>2.0870000000000002</v>
      </c>
      <c r="G8" s="266">
        <v>2.1040000000000001</v>
      </c>
      <c r="H8" s="266">
        <v>2.1150000000000002</v>
      </c>
      <c r="I8" s="266">
        <v>2.1480000000000001</v>
      </c>
      <c r="J8" s="266">
        <v>2.169</v>
      </c>
      <c r="K8" s="266">
        <v>2.1869999999999998</v>
      </c>
      <c r="L8" s="266">
        <v>2.214</v>
      </c>
      <c r="M8" s="266">
        <v>2.2330000000000001</v>
      </c>
      <c r="N8" s="266">
        <v>2.2210000000000001</v>
      </c>
      <c r="O8" s="266">
        <v>2.234</v>
      </c>
      <c r="P8" s="266">
        <v>2.2599999999999998</v>
      </c>
      <c r="Q8" s="266">
        <v>2.274</v>
      </c>
      <c r="R8" s="266">
        <v>2.3010000000000002</v>
      </c>
      <c r="S8" s="266">
        <v>2.3210000000000002</v>
      </c>
      <c r="T8" s="266">
        <v>2.3620000000000001</v>
      </c>
      <c r="U8" s="266">
        <v>2.4020000000000001</v>
      </c>
      <c r="V8" s="266">
        <v>2.351</v>
      </c>
      <c r="W8" s="266">
        <v>2.3439999999999999</v>
      </c>
      <c r="X8" s="266">
        <v>2.3479999999999999</v>
      </c>
      <c r="Y8" s="266">
        <v>2.3690000000000002</v>
      </c>
      <c r="Z8" s="266">
        <v>2.383</v>
      </c>
      <c r="AA8" s="266">
        <v>2.383</v>
      </c>
      <c r="AB8" s="266">
        <v>2.3839999999999999</v>
      </c>
      <c r="AC8" s="266">
        <v>2.399</v>
      </c>
      <c r="AD8" s="266">
        <v>2.4220000000000002</v>
      </c>
      <c r="AE8" s="266">
        <v>2.4350000000000001</v>
      </c>
      <c r="AF8" s="266">
        <v>2.4780000000000002</v>
      </c>
      <c r="AG8" s="266">
        <v>2.4889999999999999</v>
      </c>
      <c r="AH8" s="266">
        <v>2.4969999999999999</v>
      </c>
      <c r="AI8" s="266">
        <v>2.5169999999999999</v>
      </c>
      <c r="AJ8" s="266">
        <v>2.52</v>
      </c>
      <c r="AK8" s="266">
        <v>2.5299999999999998</v>
      </c>
      <c r="AL8" s="266">
        <v>2.5489999999999999</v>
      </c>
      <c r="AM8" s="266">
        <v>2.5579999999999998</v>
      </c>
      <c r="AN8" s="266">
        <v>2.5539999999999998</v>
      </c>
      <c r="AO8" s="266">
        <v>2.5739999999999998</v>
      </c>
      <c r="AP8" s="266">
        <v>2.589</v>
      </c>
      <c r="AQ8" s="266">
        <v>2.601</v>
      </c>
      <c r="AR8" s="266">
        <v>2.6070000000000002</v>
      </c>
      <c r="AS8" s="266">
        <v>2.6139999999999999</v>
      </c>
      <c r="AT8" s="266">
        <v>2.617</v>
      </c>
      <c r="AU8" s="266">
        <v>2.6190000000000002</v>
      </c>
      <c r="AV8" s="266">
        <v>2.6230000000000002</v>
      </c>
      <c r="AW8" s="266">
        <v>2.621</v>
      </c>
      <c r="AX8" s="266">
        <v>2.629</v>
      </c>
      <c r="AY8" s="266">
        <v>2.6320000000000001</v>
      </c>
      <c r="AZ8" s="266">
        <v>2.6459999999999999</v>
      </c>
      <c r="BA8" s="266">
        <v>2.6659999999999999</v>
      </c>
      <c r="BB8" s="266">
        <v>2.6779999999999999</v>
      </c>
      <c r="BC8" s="266">
        <v>2.6960000000000002</v>
      </c>
      <c r="BD8" s="266">
        <v>2.694</v>
      </c>
      <c r="BE8" s="266">
        <v>2.7090000000000001</v>
      </c>
      <c r="BF8" s="266">
        <v>2.7240000000000002</v>
      </c>
      <c r="BG8" s="266">
        <v>2.7349999999999999</v>
      </c>
      <c r="BH8" s="266">
        <v>2.7440000000000002</v>
      </c>
      <c r="BI8" s="266">
        <v>2.76</v>
      </c>
      <c r="BJ8" s="266">
        <v>2.7759999999999998</v>
      </c>
      <c r="BK8" s="266">
        <v>2.7909999999999999</v>
      </c>
      <c r="BL8" s="266">
        <v>2.8090000000000002</v>
      </c>
      <c r="BM8" s="266">
        <v>2.8239999999999998</v>
      </c>
      <c r="BN8" s="266">
        <v>2.8460000000000001</v>
      </c>
      <c r="BO8" s="266">
        <v>2.8660000000000001</v>
      </c>
      <c r="BP8" s="266">
        <v>2.8849999999999998</v>
      </c>
      <c r="BQ8" s="266">
        <v>2.9049999999999998</v>
      </c>
      <c r="BR8" s="266">
        <v>2.9239999999999999</v>
      </c>
      <c r="BS8" s="266">
        <v>2.9420000000000002</v>
      </c>
      <c r="BT8" s="266">
        <v>2.96</v>
      </c>
      <c r="BU8" s="266">
        <v>2.9790000000000001</v>
      </c>
      <c r="BV8" s="266">
        <v>2.9980000000000002</v>
      </c>
    </row>
    <row r="9" spans="1:75" s="269" customFormat="1" ht="13.05" x14ac:dyDescent="0.3">
      <c r="A9" s="267" t="s">
        <v>210</v>
      </c>
      <c r="B9" s="267" t="s">
        <v>211</v>
      </c>
      <c r="C9" s="268">
        <v>2.0350000000000001</v>
      </c>
      <c r="D9" s="268">
        <v>2.06</v>
      </c>
      <c r="E9" s="268">
        <v>2.0640000000000001</v>
      </c>
      <c r="F9" s="268">
        <v>2.0870000000000002</v>
      </c>
      <c r="G9" s="268">
        <v>2.1040000000000001</v>
      </c>
      <c r="H9" s="268">
        <v>2.1150000000000002</v>
      </c>
      <c r="I9" s="268">
        <v>2.1480000000000001</v>
      </c>
      <c r="J9" s="268">
        <v>2.169</v>
      </c>
      <c r="K9" s="268">
        <v>2.1869999999999998</v>
      </c>
      <c r="L9" s="268">
        <v>2.214</v>
      </c>
      <c r="M9" s="268">
        <v>2.2330000000000001</v>
      </c>
      <c r="N9" s="268">
        <v>2.2210000000000001</v>
      </c>
      <c r="O9" s="268">
        <v>2.234</v>
      </c>
      <c r="P9" s="268">
        <v>2.2599999999999998</v>
      </c>
      <c r="Q9" s="268">
        <v>2.274</v>
      </c>
      <c r="R9" s="268">
        <v>2.3010000000000002</v>
      </c>
      <c r="S9" s="268">
        <v>2.3210000000000002</v>
      </c>
      <c r="T9" s="268">
        <v>2.3620000000000001</v>
      </c>
      <c r="U9" s="268">
        <v>2.4020000000000001</v>
      </c>
      <c r="V9" s="268">
        <v>2.351</v>
      </c>
      <c r="W9" s="268">
        <v>2.3439999999999999</v>
      </c>
      <c r="X9" s="268">
        <v>2.3479999999999999</v>
      </c>
      <c r="Y9" s="268">
        <v>2.3690000000000002</v>
      </c>
      <c r="Z9" s="268">
        <v>2.383</v>
      </c>
      <c r="AA9" s="268">
        <v>2.383</v>
      </c>
      <c r="AB9" s="268">
        <v>2.3839999999999999</v>
      </c>
      <c r="AC9" s="268">
        <v>2.399</v>
      </c>
      <c r="AD9" s="268">
        <v>2.4220000000000002</v>
      </c>
      <c r="AE9" s="268">
        <v>2.4350000000000001</v>
      </c>
      <c r="AF9" s="268">
        <v>2.4780000000000002</v>
      </c>
      <c r="AG9" s="268">
        <v>2.4889999999999999</v>
      </c>
      <c r="AH9" s="268">
        <v>2.4969999999999999</v>
      </c>
      <c r="AI9" s="268">
        <v>2.5169999999999999</v>
      </c>
      <c r="AJ9" s="268">
        <v>2.52</v>
      </c>
      <c r="AK9" s="268">
        <v>2.5299999999999998</v>
      </c>
      <c r="AL9" s="268">
        <v>2.5489999999999999</v>
      </c>
      <c r="AM9" s="268">
        <v>2.5579999999999998</v>
      </c>
      <c r="AN9" s="268">
        <v>2.5539999999999998</v>
      </c>
      <c r="AO9" s="268">
        <v>2.5739999999999998</v>
      </c>
      <c r="AP9" s="268">
        <v>2.589</v>
      </c>
      <c r="AQ9" s="268">
        <v>2.601</v>
      </c>
      <c r="AR9" s="268">
        <v>2.6070000000000002</v>
      </c>
      <c r="AS9" s="268">
        <v>2.6139999999999999</v>
      </c>
      <c r="AT9" s="268">
        <v>2.617</v>
      </c>
      <c r="AU9" s="268">
        <v>2.6190000000000002</v>
      </c>
      <c r="AV9" s="268">
        <v>2.6230000000000002</v>
      </c>
      <c r="AW9" s="268">
        <v>2.621</v>
      </c>
      <c r="AX9" s="268">
        <v>2.629</v>
      </c>
      <c r="AY9" s="268">
        <v>2.6320000000000001</v>
      </c>
      <c r="AZ9" s="268">
        <v>2.6459999999999999</v>
      </c>
      <c r="BA9" s="268">
        <v>2.6659999999999999</v>
      </c>
      <c r="BB9" s="268">
        <v>2.6779999999999999</v>
      </c>
      <c r="BC9" s="268">
        <v>2.6960000000000002</v>
      </c>
      <c r="BD9" s="268">
        <v>2.694</v>
      </c>
      <c r="BE9" s="268">
        <v>2.7090000000000001</v>
      </c>
      <c r="BF9" s="268">
        <v>2.7240000000000002</v>
      </c>
      <c r="BG9" s="268">
        <v>2.7349999999999999</v>
      </c>
      <c r="BH9" s="268">
        <v>2.742</v>
      </c>
      <c r="BI9" s="268">
        <v>2.7549999999999999</v>
      </c>
      <c r="BJ9" s="268">
        <v>2.7690000000000001</v>
      </c>
      <c r="BK9" s="268">
        <v>2.782</v>
      </c>
      <c r="BL9" s="268">
        <v>2.798</v>
      </c>
      <c r="BM9" s="268">
        <v>2.81</v>
      </c>
      <c r="BN9" s="268">
        <v>2.831</v>
      </c>
      <c r="BO9" s="268">
        <v>2.8490000000000002</v>
      </c>
      <c r="BP9" s="268">
        <v>2.8660000000000001</v>
      </c>
      <c r="BQ9" s="268">
        <v>2.883</v>
      </c>
      <c r="BR9" s="268">
        <v>2.899</v>
      </c>
      <c r="BS9" s="268">
        <v>2.915</v>
      </c>
      <c r="BT9" s="268">
        <v>2.931</v>
      </c>
      <c r="BU9" s="268">
        <v>2.9470000000000001</v>
      </c>
      <c r="BV9" s="268">
        <v>2.9620000000000002</v>
      </c>
    </row>
    <row r="10" spans="1:75" ht="13.05" x14ac:dyDescent="0.3">
      <c r="A10" s="257" t="s">
        <v>212</v>
      </c>
      <c r="B10" s="257" t="s">
        <v>213</v>
      </c>
      <c r="C10" s="266">
        <v>2.0350000000000001</v>
      </c>
      <c r="D10" s="266">
        <v>2.06</v>
      </c>
      <c r="E10" s="266">
        <v>2.0640000000000001</v>
      </c>
      <c r="F10" s="266">
        <v>2.0870000000000002</v>
      </c>
      <c r="G10" s="266">
        <v>2.1040000000000001</v>
      </c>
      <c r="H10" s="266">
        <v>2.1150000000000002</v>
      </c>
      <c r="I10" s="266">
        <v>2.1480000000000001</v>
      </c>
      <c r="J10" s="266">
        <v>2.169</v>
      </c>
      <c r="K10" s="266">
        <v>2.1869999999999998</v>
      </c>
      <c r="L10" s="266">
        <v>2.214</v>
      </c>
      <c r="M10" s="266">
        <v>2.2330000000000001</v>
      </c>
      <c r="N10" s="266">
        <v>2.2210000000000001</v>
      </c>
      <c r="O10" s="266">
        <v>2.234</v>
      </c>
      <c r="P10" s="266">
        <v>2.2599999999999998</v>
      </c>
      <c r="Q10" s="266">
        <v>2.274</v>
      </c>
      <c r="R10" s="266">
        <v>2.3010000000000002</v>
      </c>
      <c r="S10" s="266">
        <v>2.3210000000000002</v>
      </c>
      <c r="T10" s="266">
        <v>2.3620000000000001</v>
      </c>
      <c r="U10" s="266">
        <v>2.4020000000000001</v>
      </c>
      <c r="V10" s="266">
        <v>2.351</v>
      </c>
      <c r="W10" s="266">
        <v>2.3439999999999999</v>
      </c>
      <c r="X10" s="266">
        <v>2.3479999999999999</v>
      </c>
      <c r="Y10" s="266">
        <v>2.3690000000000002</v>
      </c>
      <c r="Z10" s="266">
        <v>2.383</v>
      </c>
      <c r="AA10" s="266">
        <v>2.383</v>
      </c>
      <c r="AB10" s="266">
        <v>2.3839999999999999</v>
      </c>
      <c r="AC10" s="266">
        <v>2.399</v>
      </c>
      <c r="AD10" s="266">
        <v>2.4220000000000002</v>
      </c>
      <c r="AE10" s="266">
        <v>2.4350000000000001</v>
      </c>
      <c r="AF10" s="266">
        <v>2.4780000000000002</v>
      </c>
      <c r="AG10" s="266">
        <v>2.4889999999999999</v>
      </c>
      <c r="AH10" s="266">
        <v>2.4969999999999999</v>
      </c>
      <c r="AI10" s="266">
        <v>2.5169999999999999</v>
      </c>
      <c r="AJ10" s="266">
        <v>2.52</v>
      </c>
      <c r="AK10" s="266">
        <v>2.5299999999999998</v>
      </c>
      <c r="AL10" s="266">
        <v>2.5489999999999999</v>
      </c>
      <c r="AM10" s="266">
        <v>2.5579999999999998</v>
      </c>
      <c r="AN10" s="266">
        <v>2.5539999999999998</v>
      </c>
      <c r="AO10" s="266">
        <v>2.5739999999999998</v>
      </c>
      <c r="AP10" s="266">
        <v>2.589</v>
      </c>
      <c r="AQ10" s="266">
        <v>2.601</v>
      </c>
      <c r="AR10" s="266">
        <v>2.6070000000000002</v>
      </c>
      <c r="AS10" s="266">
        <v>2.6139999999999999</v>
      </c>
      <c r="AT10" s="266">
        <v>2.617</v>
      </c>
      <c r="AU10" s="266">
        <v>2.6190000000000002</v>
      </c>
      <c r="AV10" s="266">
        <v>2.6230000000000002</v>
      </c>
      <c r="AW10" s="266">
        <v>2.621</v>
      </c>
      <c r="AX10" s="266">
        <v>2.629</v>
      </c>
      <c r="AY10" s="266">
        <v>2.6320000000000001</v>
      </c>
      <c r="AZ10" s="266">
        <v>2.6459999999999999</v>
      </c>
      <c r="BA10" s="266">
        <v>2.6659999999999999</v>
      </c>
      <c r="BB10" s="266">
        <v>2.6779999999999999</v>
      </c>
      <c r="BC10" s="266">
        <v>2.6960000000000002</v>
      </c>
      <c r="BD10" s="266">
        <v>2.694</v>
      </c>
      <c r="BE10" s="266">
        <v>2.7090000000000001</v>
      </c>
      <c r="BF10" s="266">
        <v>2.7240000000000002</v>
      </c>
      <c r="BG10" s="266">
        <v>2.7349999999999999</v>
      </c>
      <c r="BH10" s="266">
        <v>2.7480000000000002</v>
      </c>
      <c r="BI10" s="266">
        <v>2.766</v>
      </c>
      <c r="BJ10" s="266">
        <v>2.7839999999999998</v>
      </c>
      <c r="BK10" s="266">
        <v>2.802</v>
      </c>
      <c r="BL10" s="266">
        <v>2.823</v>
      </c>
      <c r="BM10" s="266">
        <v>2.843</v>
      </c>
      <c r="BN10" s="266">
        <v>2.8690000000000002</v>
      </c>
      <c r="BO10" s="266">
        <v>2.895</v>
      </c>
      <c r="BP10" s="266">
        <v>2.919</v>
      </c>
      <c r="BQ10" s="266">
        <v>2.9449999999999998</v>
      </c>
      <c r="BR10" s="266">
        <v>2.97</v>
      </c>
      <c r="BS10" s="266">
        <v>2.9950000000000001</v>
      </c>
      <c r="BT10" s="266">
        <v>3.02</v>
      </c>
      <c r="BU10" s="266">
        <v>3.0470000000000002</v>
      </c>
      <c r="BV10" s="266">
        <v>3.0739999999999998</v>
      </c>
    </row>
    <row r="12" spans="1:75" ht="13.05" x14ac:dyDescent="0.3"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</row>
    <row r="13" spans="1:75" ht="13.05" x14ac:dyDescent="0.3"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</row>
    <row r="14" spans="1:75" ht="13.05" x14ac:dyDescent="0.3"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</row>
    <row r="15" spans="1:75" ht="13.05" x14ac:dyDescent="0.3"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</row>
    <row r="16" spans="1:75" ht="13.05" x14ac:dyDescent="0.3">
      <c r="BF16" s="271" t="s">
        <v>214</v>
      </c>
      <c r="BG16" s="272"/>
      <c r="BH16" s="272"/>
      <c r="BI16" s="273" t="s">
        <v>219</v>
      </c>
      <c r="BJ16" s="274"/>
      <c r="BK16" s="274"/>
      <c r="BL16" s="274"/>
      <c r="BM16" s="274"/>
      <c r="BN16" s="274"/>
      <c r="BO16" s="272"/>
      <c r="BP16" s="272"/>
      <c r="BQ16" s="272"/>
    </row>
    <row r="17" spans="58:69" ht="13.05" x14ac:dyDescent="0.3">
      <c r="BF17" s="275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7"/>
    </row>
    <row r="18" spans="58:69" ht="13.05" x14ac:dyDescent="0.3">
      <c r="BF18" s="278"/>
      <c r="BG18" s="279" t="s">
        <v>215</v>
      </c>
      <c r="BH18" s="280" t="s">
        <v>221</v>
      </c>
      <c r="BI18" s="280"/>
      <c r="BJ18" s="280"/>
      <c r="BK18" s="280"/>
      <c r="BL18" s="280"/>
      <c r="BM18" s="280"/>
      <c r="BN18" s="280"/>
      <c r="BO18" s="280"/>
      <c r="BP18" s="280"/>
      <c r="BQ18" s="281"/>
    </row>
    <row r="19" spans="58:69" ht="13.05" x14ac:dyDescent="0.3">
      <c r="BF19" s="278"/>
      <c r="BG19" s="280"/>
      <c r="BH19" s="291" t="str">
        <f>BJ7</f>
        <v>2018Q4</v>
      </c>
      <c r="BI19" s="291"/>
      <c r="BJ19" s="291"/>
      <c r="BK19" s="291"/>
      <c r="BL19" s="280"/>
      <c r="BM19" s="280"/>
      <c r="BN19" s="280"/>
      <c r="BO19" s="280"/>
      <c r="BP19" s="280"/>
      <c r="BQ19" s="282" t="s">
        <v>216</v>
      </c>
    </row>
    <row r="20" spans="58:69" ht="13.05" x14ac:dyDescent="0.3">
      <c r="BF20" s="278"/>
      <c r="BG20" s="280"/>
      <c r="BH20" s="292">
        <f>BJ9</f>
        <v>2.7690000000000001</v>
      </c>
      <c r="BI20" s="292"/>
      <c r="BJ20" s="292"/>
      <c r="BK20" s="292"/>
      <c r="BL20" s="280"/>
      <c r="BM20" s="280"/>
      <c r="BN20" s="280"/>
      <c r="BO20" s="280"/>
      <c r="BP20" s="280"/>
      <c r="BQ20" s="283">
        <f>AVERAGE(BH20:BK20)</f>
        <v>2.7690000000000001</v>
      </c>
    </row>
    <row r="21" spans="58:69" ht="13.05" x14ac:dyDescent="0.3">
      <c r="BF21" s="278"/>
      <c r="BG21" s="280"/>
      <c r="BH21" s="280"/>
      <c r="BI21" s="280"/>
      <c r="BJ21" s="280"/>
      <c r="BK21" s="280"/>
      <c r="BL21" s="280"/>
      <c r="BM21" s="280"/>
      <c r="BN21" s="280"/>
      <c r="BO21" s="280"/>
      <c r="BP21" s="280"/>
      <c r="BQ21" s="284"/>
    </row>
    <row r="22" spans="58:69" ht="13.05" x14ac:dyDescent="0.3">
      <c r="BF22" s="278"/>
      <c r="BG22" s="279" t="s">
        <v>217</v>
      </c>
      <c r="BH22" s="280" t="s">
        <v>220</v>
      </c>
      <c r="BI22" s="280"/>
      <c r="BJ22" s="280"/>
      <c r="BK22" s="280"/>
      <c r="BL22" s="280"/>
      <c r="BM22" s="280"/>
      <c r="BN22" s="280"/>
      <c r="BO22" s="280"/>
      <c r="BP22" s="280"/>
      <c r="BQ22" s="284"/>
    </row>
    <row r="23" spans="58:69" ht="13.05" x14ac:dyDescent="0.3">
      <c r="BF23" s="278"/>
      <c r="BG23" s="280"/>
      <c r="BH23" s="257" t="s">
        <v>195</v>
      </c>
      <c r="BI23" s="257" t="s">
        <v>196</v>
      </c>
      <c r="BJ23" s="257" t="s">
        <v>197</v>
      </c>
      <c r="BK23" s="257" t="s">
        <v>198</v>
      </c>
      <c r="BL23" s="257" t="s">
        <v>199</v>
      </c>
      <c r="BM23" s="257" t="s">
        <v>200</v>
      </c>
      <c r="BN23" s="257" t="s">
        <v>201</v>
      </c>
      <c r="BO23" s="257" t="s">
        <v>202</v>
      </c>
      <c r="BP23" s="280"/>
      <c r="BQ23" s="284"/>
    </row>
    <row r="24" spans="58:69" x14ac:dyDescent="0.25">
      <c r="BF24" s="278"/>
      <c r="BG24" s="280"/>
      <c r="BH24" s="285">
        <v>2.782</v>
      </c>
      <c r="BI24" s="285">
        <v>2.798</v>
      </c>
      <c r="BJ24" s="285">
        <v>2.81</v>
      </c>
      <c r="BK24" s="285">
        <v>2.831</v>
      </c>
      <c r="BL24" s="285">
        <v>2.8490000000000002</v>
      </c>
      <c r="BM24" s="285">
        <v>2.8660000000000001</v>
      </c>
      <c r="BN24" s="285">
        <v>2.883</v>
      </c>
      <c r="BO24" s="285">
        <v>2.899</v>
      </c>
      <c r="BP24" s="280"/>
      <c r="BQ24" s="283">
        <f>AVERAGE(BH24:BO24)</f>
        <v>2.83975</v>
      </c>
    </row>
    <row r="25" spans="58:69" x14ac:dyDescent="0.25">
      <c r="BF25" s="278"/>
      <c r="BG25" s="280"/>
      <c r="BH25" s="280"/>
      <c r="BI25" s="280"/>
      <c r="BJ25" s="280"/>
      <c r="BK25" s="280"/>
      <c r="BL25" s="280"/>
      <c r="BM25" s="280"/>
      <c r="BN25" s="280"/>
      <c r="BO25" s="280"/>
      <c r="BP25" s="280"/>
      <c r="BQ25" s="284"/>
    </row>
    <row r="26" spans="58:69" x14ac:dyDescent="0.25">
      <c r="BF26" s="278"/>
      <c r="BG26" s="280"/>
      <c r="BH26" s="280"/>
      <c r="BI26" s="280"/>
      <c r="BJ26" s="280"/>
      <c r="BK26" s="280"/>
      <c r="BL26" s="280"/>
      <c r="BM26" s="280"/>
      <c r="BN26" s="280"/>
      <c r="BO26" s="280"/>
      <c r="BP26" s="286" t="s">
        <v>218</v>
      </c>
      <c r="BQ26" s="287">
        <f>(BQ24-BQ20)/BQ20</f>
        <v>2.5550740339472685E-2</v>
      </c>
    </row>
    <row r="27" spans="58:69" x14ac:dyDescent="0.25">
      <c r="BF27" s="288"/>
      <c r="BG27" s="289"/>
      <c r="BH27" s="289"/>
      <c r="BI27" s="289"/>
      <c r="BJ27" s="289"/>
      <c r="BK27" s="289"/>
      <c r="BL27" s="289"/>
      <c r="BM27" s="289"/>
      <c r="BN27" s="289"/>
      <c r="BO27" s="289"/>
      <c r="BP27" s="289"/>
      <c r="BQ27" s="290"/>
    </row>
  </sheetData>
  <mergeCells count="3">
    <mergeCell ref="A1:B1"/>
    <mergeCell ref="A2:B2"/>
    <mergeCell ref="A3:B3"/>
  </mergeCells>
  <pageMargins left="0.25" right="0.25" top="0.75" bottom="0.75" header="0.3" footer="0.3"/>
  <pageSetup scale="82" fitToHeight="0" orientation="landscape" cellComments="asDisplayed" r:id="rId1"/>
  <headerFoot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4" workbookViewId="0">
      <selection activeCell="J16" sqref="J16"/>
    </sheetView>
  </sheetViews>
  <sheetFormatPr defaultRowHeight="14.4" x14ac:dyDescent="0.3"/>
  <cols>
    <col min="1" max="1" width="8.88671875" style="60"/>
    <col min="2" max="2" width="34.5546875" style="60" customWidth="1"/>
    <col min="3" max="3" width="8.88671875" style="60"/>
    <col min="4" max="4" width="14.33203125" style="60" customWidth="1"/>
    <col min="5" max="5" width="16.109375" style="60" customWidth="1"/>
    <col min="6" max="6" width="20" style="60" customWidth="1"/>
  </cols>
  <sheetData>
    <row r="1" spans="1:6" ht="15" thickBot="1" x14ac:dyDescent="0.4">
      <c r="A1" s="58"/>
      <c r="B1" s="59"/>
      <c r="C1" s="59"/>
      <c r="D1" s="59"/>
      <c r="E1" s="59"/>
      <c r="F1" s="59"/>
    </row>
    <row r="2" spans="1:6" ht="15" thickBot="1" x14ac:dyDescent="0.4">
      <c r="A2" s="58"/>
      <c r="B2" s="722" t="s">
        <v>462</v>
      </c>
      <c r="C2" s="723"/>
      <c r="D2" s="723"/>
      <c r="E2" s="723"/>
      <c r="F2" s="724"/>
    </row>
    <row r="3" spans="1:6" ht="14.55" x14ac:dyDescent="0.35">
      <c r="A3" s="58"/>
      <c r="B3" s="16" t="s">
        <v>457</v>
      </c>
      <c r="C3" s="17"/>
      <c r="D3" s="18"/>
      <c r="E3" s="35" t="s">
        <v>463</v>
      </c>
      <c r="F3" s="20">
        <v>14</v>
      </c>
    </row>
    <row r="4" spans="1:6" ht="14.55" x14ac:dyDescent="0.35">
      <c r="A4" s="58"/>
      <c r="B4" s="22"/>
      <c r="C4" s="23"/>
      <c r="D4" s="24" t="s">
        <v>33</v>
      </c>
      <c r="E4" s="24" t="s">
        <v>34</v>
      </c>
      <c r="F4" s="25" t="s">
        <v>35</v>
      </c>
    </row>
    <row r="5" spans="1:6" ht="14.55" x14ac:dyDescent="0.35">
      <c r="A5" s="58"/>
      <c r="B5" s="534" t="str">
        <f>'[11]POS Other Inputs'!B12</f>
        <v>Program Management</v>
      </c>
      <c r="C5" s="10"/>
      <c r="D5" s="764">
        <f>'Master Lookup'!C13</f>
        <v>66664</v>
      </c>
      <c r="E5" s="293">
        <v>0.05</v>
      </c>
      <c r="F5" s="765">
        <f>D5*E5</f>
        <v>3333.2000000000003</v>
      </c>
    </row>
    <row r="6" spans="1:6" ht="14.55" x14ac:dyDescent="0.35">
      <c r="A6" s="58"/>
      <c r="B6" s="534" t="s">
        <v>461</v>
      </c>
      <c r="C6" s="766"/>
      <c r="D6" s="764">
        <f>'Master Lookup'!C18</f>
        <v>52665.599999999999</v>
      </c>
      <c r="E6" s="767">
        <v>5.3999999999999999E-2</v>
      </c>
      <c r="F6" s="765">
        <f t="shared" ref="F6:F8" si="0">D6*E6</f>
        <v>2843.9423999999999</v>
      </c>
    </row>
    <row r="7" spans="1:6" ht="14.55" x14ac:dyDescent="0.35">
      <c r="A7" s="58"/>
      <c r="B7" s="534" t="str">
        <f>'[11]POS Other Inputs'!B14</f>
        <v>Recovery Coach</v>
      </c>
      <c r="C7" s="766"/>
      <c r="D7" s="688">
        <f>ROUND('[11]POS Benchmarks'!C8,0)</f>
        <v>41517</v>
      </c>
      <c r="E7" s="767">
        <v>1</v>
      </c>
      <c r="F7" s="765">
        <f t="shared" si="0"/>
        <v>41517</v>
      </c>
    </row>
    <row r="8" spans="1:6" ht="14.55" x14ac:dyDescent="0.35">
      <c r="A8" s="58"/>
      <c r="B8" s="534" t="str">
        <f>'[11]POS Other Inputs'!B15</f>
        <v>Support Staffing</v>
      </c>
      <c r="C8" s="766"/>
      <c r="D8" s="768">
        <f>'Master Lookup'!C21</f>
        <v>32198.400000000001</v>
      </c>
      <c r="E8" s="769">
        <v>0.05</v>
      </c>
      <c r="F8" s="765">
        <f t="shared" si="0"/>
        <v>1609.92</v>
      </c>
    </row>
    <row r="9" spans="1:6" ht="14.55" x14ac:dyDescent="0.35">
      <c r="A9" s="58"/>
      <c r="B9" s="770" t="s">
        <v>36</v>
      </c>
      <c r="C9" s="771"/>
      <c r="D9" s="771"/>
      <c r="E9" s="772">
        <f>SUM(E5:E8)</f>
        <v>1.1540000000000001</v>
      </c>
      <c r="F9" s="773">
        <f>SUM(F5:F8)</f>
        <v>49304.062399999995</v>
      </c>
    </row>
    <row r="10" spans="1:6" ht="14.55" x14ac:dyDescent="0.35">
      <c r="A10" s="58"/>
      <c r="B10" s="774" t="s">
        <v>37</v>
      </c>
      <c r="C10" s="10"/>
      <c r="D10" s="10"/>
      <c r="E10" s="775" t="s">
        <v>38</v>
      </c>
      <c r="F10" s="776"/>
    </row>
    <row r="11" spans="1:6" ht="14.55" x14ac:dyDescent="0.35">
      <c r="A11" s="58"/>
      <c r="B11" s="777" t="s">
        <v>14</v>
      </c>
      <c r="C11" s="10"/>
      <c r="D11" s="75">
        <v>0.224</v>
      </c>
      <c r="E11" s="10"/>
      <c r="F11" s="765">
        <f>$F$9*D11</f>
        <v>11044.109977599999</v>
      </c>
    </row>
    <row r="12" spans="1:6" ht="14.55" x14ac:dyDescent="0.35">
      <c r="A12" s="58"/>
      <c r="B12" s="777" t="s">
        <v>458</v>
      </c>
      <c r="C12" s="10"/>
      <c r="D12" s="75">
        <v>3.7000000000000002E-3</v>
      </c>
      <c r="E12" s="10"/>
      <c r="F12" s="765">
        <f>$F$9*D12</f>
        <v>182.42503087999998</v>
      </c>
    </row>
    <row r="13" spans="1:6" ht="14.55" x14ac:dyDescent="0.35">
      <c r="A13" s="58"/>
      <c r="B13" s="770" t="s">
        <v>39</v>
      </c>
      <c r="C13" s="771"/>
      <c r="D13" s="771"/>
      <c r="E13" s="778"/>
      <c r="F13" s="773">
        <f>F11+F12+F9</f>
        <v>60530.597408479996</v>
      </c>
    </row>
    <row r="14" spans="1:6" ht="14.55" x14ac:dyDescent="0.35">
      <c r="A14" s="58"/>
      <c r="B14" s="777"/>
      <c r="C14" s="10"/>
      <c r="D14" s="74"/>
      <c r="E14" s="779" t="s">
        <v>40</v>
      </c>
      <c r="F14" s="765"/>
    </row>
    <row r="15" spans="1:6" ht="14.55" x14ac:dyDescent="0.35">
      <c r="A15" s="58"/>
      <c r="B15" s="777" t="s">
        <v>23</v>
      </c>
      <c r="C15" s="10"/>
      <c r="D15" s="74"/>
      <c r="E15" s="688">
        <f>'Master Lookup'!C28</f>
        <v>5541.3168000000005</v>
      </c>
      <c r="F15" s="765">
        <f>E15</f>
        <v>5541.3168000000005</v>
      </c>
    </row>
    <row r="16" spans="1:6" ht="14.55" x14ac:dyDescent="0.35">
      <c r="A16" s="58"/>
      <c r="B16" s="777" t="s">
        <v>15</v>
      </c>
      <c r="C16" s="10"/>
      <c r="D16" s="74"/>
      <c r="E16" s="688">
        <f>'Master Lookup'!C25</f>
        <v>6983.3104000000003</v>
      </c>
      <c r="F16" s="765">
        <f>E16*E9</f>
        <v>8058.7402016000015</v>
      </c>
    </row>
    <row r="17" spans="1:6" ht="14.55" x14ac:dyDescent="0.35">
      <c r="A17" s="58"/>
      <c r="B17" s="777" t="s">
        <v>108</v>
      </c>
      <c r="C17" s="10"/>
      <c r="D17" s="74"/>
      <c r="E17" s="768">
        <f>'Master Lookup'!C26</f>
        <v>1250.2064</v>
      </c>
      <c r="F17" s="765">
        <f>E17*E9</f>
        <v>1442.7381856000002</v>
      </c>
    </row>
    <row r="18" spans="1:6" ht="14.55" x14ac:dyDescent="0.35">
      <c r="A18" s="58"/>
      <c r="B18" s="770" t="s">
        <v>41</v>
      </c>
      <c r="C18" s="771"/>
      <c r="D18" s="771"/>
      <c r="E18" s="771"/>
      <c r="F18" s="773">
        <f>F13+F15+F16+F17</f>
        <v>75573.392595679994</v>
      </c>
    </row>
    <row r="19" spans="1:6" ht="14.55" x14ac:dyDescent="0.35">
      <c r="A19" s="58"/>
      <c r="B19" s="780" t="s">
        <v>42</v>
      </c>
      <c r="C19" s="683"/>
      <c r="D19" s="40">
        <v>0.12</v>
      </c>
      <c r="E19" s="781"/>
      <c r="F19" s="782">
        <f>F18*D19</f>
        <v>9068.8071114815993</v>
      </c>
    </row>
    <row r="20" spans="1:6" ht="15" thickBot="1" x14ac:dyDescent="0.4">
      <c r="A20" s="58"/>
      <c r="B20" s="783" t="s">
        <v>43</v>
      </c>
      <c r="C20" s="784"/>
      <c r="D20" s="784"/>
      <c r="E20" s="784"/>
      <c r="F20" s="785">
        <f>F18+F19</f>
        <v>84642.199707161592</v>
      </c>
    </row>
    <row r="21" spans="1:6" ht="15" thickTop="1" x14ac:dyDescent="0.35">
      <c r="A21" s="58"/>
      <c r="B21" s="786" t="s">
        <v>459</v>
      </c>
      <c r="C21" s="787"/>
      <c r="D21" s="684">
        <v>2.4001401541695635E-2</v>
      </c>
      <c r="E21" s="787"/>
      <c r="F21" s="788">
        <f>F20*(1+D21)</f>
        <v>86673.731129705571</v>
      </c>
    </row>
    <row r="22" spans="1:6" ht="14.55" x14ac:dyDescent="0.35">
      <c r="A22" s="58"/>
      <c r="B22" s="685" t="s">
        <v>460</v>
      </c>
      <c r="C22" s="686"/>
      <c r="D22" s="686"/>
      <c r="E22" s="686"/>
      <c r="F22" s="687">
        <f>F21/F3/365</f>
        <v>16.961591219120464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opLeftCell="A13" workbookViewId="0">
      <selection activeCell="J16" sqref="J16"/>
    </sheetView>
  </sheetViews>
  <sheetFormatPr defaultColWidth="9.109375" defaultRowHeight="13.2" x14ac:dyDescent="0.25"/>
  <cols>
    <col min="1" max="1" width="9.109375" style="60"/>
    <col min="2" max="2" width="28.109375" style="60" customWidth="1"/>
    <col min="3" max="3" width="9.6640625" style="60" customWidth="1"/>
    <col min="4" max="6" width="17.5546875" style="60" customWidth="1"/>
    <col min="7" max="7" width="9.109375" style="60"/>
    <col min="8" max="8" width="27.33203125" style="60" customWidth="1"/>
    <col min="9" max="16384" width="9.109375" style="60"/>
  </cols>
  <sheetData>
    <row r="1" spans="1:8" ht="13.05" thickBot="1" x14ac:dyDescent="0.3"/>
    <row r="2" spans="1:8" ht="13.5" thickBot="1" x14ac:dyDescent="0.35">
      <c r="B2" s="725" t="s">
        <v>29</v>
      </c>
      <c r="C2" s="726"/>
      <c r="D2" s="726"/>
      <c r="E2" s="726"/>
      <c r="F2" s="727"/>
    </row>
    <row r="3" spans="1:8" ht="13.5" thickBot="1" x14ac:dyDescent="0.35">
      <c r="B3" s="200" t="s">
        <v>30</v>
      </c>
      <c r="C3" s="80"/>
      <c r="D3" s="201"/>
      <c r="E3" s="81"/>
      <c r="F3" s="82"/>
    </row>
    <row r="4" spans="1:8" ht="13.05" x14ac:dyDescent="0.3">
      <c r="B4" s="102" t="s">
        <v>31</v>
      </c>
      <c r="C4" s="80"/>
      <c r="D4" s="201">
        <v>870.39</v>
      </c>
      <c r="E4" s="81" t="s">
        <v>32</v>
      </c>
      <c r="F4" s="82">
        <v>44</v>
      </c>
    </row>
    <row r="5" spans="1:8" ht="13.05" x14ac:dyDescent="0.3">
      <c r="B5" s="102"/>
      <c r="C5" s="85"/>
      <c r="D5" s="86" t="s">
        <v>33</v>
      </c>
      <c r="E5" s="86" t="s">
        <v>34</v>
      </c>
      <c r="F5" s="87" t="s">
        <v>35</v>
      </c>
    </row>
    <row r="6" spans="1:8" x14ac:dyDescent="0.25">
      <c r="B6" s="533" t="str">
        <f>'Master Lookup'!B12</f>
        <v>Program Management</v>
      </c>
      <c r="C6" s="608"/>
      <c r="D6" s="488">
        <f>'Master Lookup'!C12</f>
        <v>77462.132160000008</v>
      </c>
      <c r="E6" s="610">
        <v>0.19500000000000001</v>
      </c>
      <c r="F6" s="92">
        <f t="shared" ref="F6:F10" si="0">E6*D6</f>
        <v>15105.115771200002</v>
      </c>
    </row>
    <row r="7" spans="1:8" ht="16.5" customHeight="1" x14ac:dyDescent="0.25">
      <c r="B7" s="533" t="str">
        <f>'Master Lookup'!B14</f>
        <v>Medical - MD</v>
      </c>
      <c r="C7" s="608"/>
      <c r="D7" s="605">
        <f>'Master Lookup'!C14</f>
        <v>169152.00287999999</v>
      </c>
      <c r="E7" s="609">
        <v>0.5</v>
      </c>
      <c r="F7" s="92">
        <f t="shared" si="0"/>
        <v>84576.001439999993</v>
      </c>
    </row>
    <row r="8" spans="1:8" ht="19.5" customHeight="1" x14ac:dyDescent="0.25">
      <c r="B8" s="533" t="s">
        <v>455</v>
      </c>
      <c r="C8" s="608"/>
      <c r="D8" s="605">
        <f>Chart!C20</f>
        <v>86860.800000000003</v>
      </c>
      <c r="E8" s="609">
        <v>1.5</v>
      </c>
      <c r="F8" s="92">
        <f t="shared" si="0"/>
        <v>130291.20000000001</v>
      </c>
    </row>
    <row r="9" spans="1:8" ht="18" customHeight="1" x14ac:dyDescent="0.25">
      <c r="B9" s="533" t="str">
        <f>'Master Lookup'!B21</f>
        <v>Direct Care</v>
      </c>
      <c r="C9" s="608"/>
      <c r="D9" s="488">
        <f>'Master Lookup'!C21</f>
        <v>32198.400000000001</v>
      </c>
      <c r="E9" s="610">
        <v>0.4</v>
      </c>
      <c r="F9" s="92">
        <f t="shared" si="0"/>
        <v>12879.36</v>
      </c>
    </row>
    <row r="10" spans="1:8" x14ac:dyDescent="0.25">
      <c r="B10" s="607" t="str">
        <f>'Master Lookup'!B22</f>
        <v>Support Staffing</v>
      </c>
      <c r="C10" s="608"/>
      <c r="D10" s="605">
        <f>'Master Lookup'!C22</f>
        <v>32198.400000000001</v>
      </c>
      <c r="E10" s="610">
        <v>0.4</v>
      </c>
      <c r="F10" s="92">
        <f t="shared" si="0"/>
        <v>12879.36</v>
      </c>
    </row>
    <row r="11" spans="1:8" x14ac:dyDescent="0.25">
      <c r="B11" s="611" t="s">
        <v>36</v>
      </c>
      <c r="C11" s="612"/>
      <c r="D11" s="612"/>
      <c r="E11" s="613">
        <f>SUM(E6:E10)</f>
        <v>2.9950000000000001</v>
      </c>
      <c r="F11" s="99">
        <f>SUM(F6:F10)</f>
        <v>255731.03721119999</v>
      </c>
      <c r="H11" s="245"/>
    </row>
    <row r="12" spans="1:8" x14ac:dyDescent="0.25">
      <c r="B12" s="614"/>
      <c r="C12" s="608"/>
      <c r="D12" s="608"/>
      <c r="E12" s="608"/>
      <c r="F12" s="101"/>
    </row>
    <row r="13" spans="1:8" x14ac:dyDescent="0.25">
      <c r="B13" s="615" t="s">
        <v>37</v>
      </c>
      <c r="C13" s="608"/>
      <c r="D13" s="608"/>
      <c r="E13" s="616" t="s">
        <v>38</v>
      </c>
      <c r="F13" s="101"/>
    </row>
    <row r="14" spans="1:8" x14ac:dyDescent="0.25">
      <c r="B14" s="614" t="s">
        <v>14</v>
      </c>
      <c r="C14" s="608"/>
      <c r="D14" s="617">
        <f>'Master Lookup'!C30</f>
        <v>0.224</v>
      </c>
      <c r="E14" s="608"/>
      <c r="F14" s="92">
        <f>F11*D14</f>
        <v>57283.752335308796</v>
      </c>
    </row>
    <row r="15" spans="1:8" x14ac:dyDescent="0.25">
      <c r="A15" s="178"/>
      <c r="B15" s="611" t="s">
        <v>39</v>
      </c>
      <c r="C15" s="612"/>
      <c r="D15" s="612"/>
      <c r="E15" s="618"/>
      <c r="F15" s="99">
        <f>F11+F14</f>
        <v>313014.78954650881</v>
      </c>
    </row>
    <row r="16" spans="1:8" x14ac:dyDescent="0.25">
      <c r="A16" s="178"/>
      <c r="B16" s="614"/>
      <c r="C16" s="608"/>
      <c r="D16" s="608" t="s">
        <v>40</v>
      </c>
      <c r="E16" s="608"/>
      <c r="F16" s="101"/>
    </row>
    <row r="17" spans="1:8" x14ac:dyDescent="0.25">
      <c r="A17" s="178"/>
      <c r="B17" s="614" t="s">
        <v>15</v>
      </c>
      <c r="C17" s="608"/>
      <c r="D17" s="619">
        <f>'Master Lookup'!C24</f>
        <v>3479.8608000000004</v>
      </c>
      <c r="E17" s="620"/>
      <c r="F17" s="107">
        <f>E11*D17</f>
        <v>10422.183096000001</v>
      </c>
    </row>
    <row r="18" spans="1:8" x14ac:dyDescent="0.25">
      <c r="A18" s="178"/>
      <c r="B18" s="614" t="s">
        <v>295</v>
      </c>
      <c r="C18" s="608"/>
      <c r="D18" s="621">
        <f>'Master Lookup'!C29</f>
        <v>3.7000000000000002E-3</v>
      </c>
      <c r="E18" s="620"/>
      <c r="F18" s="107">
        <f>F11*D18</f>
        <v>946.20483768144004</v>
      </c>
    </row>
    <row r="19" spans="1:8" ht="13.8" thickBot="1" x14ac:dyDescent="0.3">
      <c r="A19" s="178"/>
      <c r="B19" s="622" t="s">
        <v>16</v>
      </c>
      <c r="C19" s="623"/>
      <c r="D19" s="624">
        <f>'Master Lookup'!C27</f>
        <v>19334.611200000003</v>
      </c>
      <c r="E19" s="625"/>
      <c r="F19" s="394">
        <v>56851.639209131514</v>
      </c>
    </row>
    <row r="20" spans="1:8" ht="13.8" thickTop="1" x14ac:dyDescent="0.25">
      <c r="A20" s="178"/>
      <c r="B20" s="626" t="s">
        <v>41</v>
      </c>
      <c r="C20" s="627"/>
      <c r="D20" s="627"/>
      <c r="E20" s="627"/>
      <c r="F20" s="113">
        <f>SUM(F15:F19)</f>
        <v>381234.81668932177</v>
      </c>
    </row>
    <row r="21" spans="1:8" x14ac:dyDescent="0.25">
      <c r="A21" s="178"/>
      <c r="B21" s="789" t="s">
        <v>42</v>
      </c>
      <c r="C21" s="790"/>
      <c r="D21" s="791">
        <f>'Master Lookup'!C31</f>
        <v>0.12</v>
      </c>
      <c r="E21" s="792"/>
      <c r="F21" s="395">
        <f>F20*D21</f>
        <v>45748.178002718611</v>
      </c>
    </row>
    <row r="22" spans="1:8" ht="13.8" thickBot="1" x14ac:dyDescent="0.3">
      <c r="A22" s="178"/>
      <c r="B22" s="793" t="s">
        <v>43</v>
      </c>
      <c r="C22" s="794"/>
      <c r="D22" s="794"/>
      <c r="E22" s="794"/>
      <c r="F22" s="396">
        <f>F21+F20</f>
        <v>426982.99469204037</v>
      </c>
      <c r="H22" s="402"/>
    </row>
    <row r="23" spans="1:8" ht="13.8" thickBot="1" x14ac:dyDescent="0.3">
      <c r="A23" s="178"/>
      <c r="B23" s="598" t="s">
        <v>296</v>
      </c>
      <c r="C23" s="608"/>
      <c r="D23" s="560">
        <f>'Master Lookup'!C35</f>
        <v>2.3997532813331963E-2</v>
      </c>
      <c r="E23" s="608"/>
      <c r="F23" s="396">
        <f>F22+(F22*D23)-(F11*D23)</f>
        <v>431092.61916103418</v>
      </c>
      <c r="H23" s="245"/>
    </row>
    <row r="24" spans="1:8" ht="13.8" thickBot="1" x14ac:dyDescent="0.3">
      <c r="A24" s="178"/>
      <c r="B24" s="795" t="s">
        <v>64</v>
      </c>
      <c r="C24" s="641"/>
      <c r="D24" s="796"/>
      <c r="E24" s="641"/>
      <c r="F24" s="468">
        <f>F23/(D4*F4)</f>
        <v>11.256516649303348</v>
      </c>
      <c r="H24" s="402"/>
    </row>
    <row r="25" spans="1:8" ht="13.05" x14ac:dyDescent="0.3">
      <c r="A25" s="178"/>
      <c r="B25" s="77"/>
      <c r="C25" s="133"/>
      <c r="D25" s="134"/>
      <c r="E25" s="67"/>
      <c r="F25" s="68"/>
    </row>
    <row r="26" spans="1:8" ht="13.05" x14ac:dyDescent="0.3">
      <c r="A26" s="178"/>
      <c r="B26" s="77"/>
      <c r="C26" s="77"/>
      <c r="D26" s="77"/>
      <c r="E26" s="69"/>
      <c r="F26" s="70"/>
    </row>
    <row r="27" spans="1:8" ht="12.45" x14ac:dyDescent="0.25">
      <c r="A27" s="178"/>
      <c r="B27" s="77"/>
      <c r="C27" s="77"/>
      <c r="D27" s="77"/>
      <c r="E27" s="77"/>
      <c r="F27" s="77"/>
    </row>
    <row r="29" spans="1:8" ht="12.45" x14ac:dyDescent="0.25">
      <c r="H29" s="402"/>
    </row>
  </sheetData>
  <mergeCells count="1">
    <mergeCell ref="B2:F2"/>
  </mergeCells>
  <pageMargins left="0.25" right="0.25" top="0.75" bottom="0.75" header="0.3" footer="0.3"/>
  <pageSetup fitToHeight="0" orientation="landscape" cellComments="asDisplayed" r:id="rId1"/>
  <headerFoot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1"/>
  <sheetViews>
    <sheetView zoomScale="110" zoomScaleNormal="110" workbookViewId="0">
      <selection activeCell="J16" sqref="J16"/>
    </sheetView>
  </sheetViews>
  <sheetFormatPr defaultColWidth="9.109375" defaultRowHeight="13.2" x14ac:dyDescent="0.25"/>
  <cols>
    <col min="1" max="1" width="9.109375" style="60"/>
    <col min="2" max="2" width="12.88671875" style="60" customWidth="1"/>
    <col min="3" max="3" width="23.6640625" style="60" customWidth="1"/>
    <col min="4" max="7" width="12.88671875" style="60" customWidth="1"/>
    <col min="8" max="16384" width="9.109375" style="60"/>
  </cols>
  <sheetData>
    <row r="1" spans="2:7" ht="13.05" thickBot="1" x14ac:dyDescent="0.3"/>
    <row r="2" spans="2:7" ht="13.2" customHeight="1" thickBot="1" x14ac:dyDescent="0.3">
      <c r="B2" s="728" t="s">
        <v>46</v>
      </c>
      <c r="C2" s="729"/>
      <c r="D2" s="730"/>
      <c r="E2" s="730"/>
      <c r="F2" s="731"/>
      <c r="G2" s="210"/>
    </row>
    <row r="3" spans="2:7" ht="13.05" thickBot="1" x14ac:dyDescent="0.3">
      <c r="B3" s="248" t="s">
        <v>47</v>
      </c>
      <c r="C3" s="247"/>
      <c r="D3" s="212"/>
      <c r="E3" s="213"/>
      <c r="F3" s="214"/>
      <c r="G3" s="215"/>
    </row>
    <row r="4" spans="2:7" ht="12.45" x14ac:dyDescent="0.25">
      <c r="B4" s="216"/>
      <c r="C4" s="211"/>
      <c r="D4" s="213" t="s">
        <v>48</v>
      </c>
      <c r="E4" s="217"/>
      <c r="F4" s="214">
        <v>1506</v>
      </c>
      <c r="G4" s="218"/>
    </row>
    <row r="5" spans="2:7" ht="12.45" x14ac:dyDescent="0.25">
      <c r="B5" s="219"/>
      <c r="C5" s="220"/>
      <c r="D5" s="221" t="s">
        <v>33</v>
      </c>
      <c r="E5" s="221" t="s">
        <v>34</v>
      </c>
      <c r="F5" s="222" t="s">
        <v>35</v>
      </c>
      <c r="G5" s="210"/>
    </row>
    <row r="6" spans="2:7" x14ac:dyDescent="0.25">
      <c r="B6" s="294" t="str">
        <f>'Master Lookup'!B13</f>
        <v>Program Management</v>
      </c>
      <c r="C6" s="798"/>
      <c r="D6" s="799">
        <f>'Methadone Dosing'!D6</f>
        <v>77462.132160000008</v>
      </c>
      <c r="E6" s="800">
        <v>0.2</v>
      </c>
      <c r="F6" s="223">
        <f>E6*D6</f>
        <v>15492.426432000002</v>
      </c>
      <c r="G6" s="224"/>
    </row>
    <row r="7" spans="2:7" x14ac:dyDescent="0.25">
      <c r="B7" s="294" t="str">
        <f>'Master Lookup'!B17</f>
        <v>Clinical  (LICSW)</v>
      </c>
      <c r="C7" s="798"/>
      <c r="D7" s="801">
        <f>Chart!C16</f>
        <v>83324.800000000003</v>
      </c>
      <c r="E7" s="802">
        <v>0.2</v>
      </c>
      <c r="F7" s="223">
        <f>E7*D7</f>
        <v>16664.960000000003</v>
      </c>
      <c r="G7" s="224"/>
    </row>
    <row r="8" spans="2:7" ht="12" customHeight="1" x14ac:dyDescent="0.25">
      <c r="B8" s="294" t="s">
        <v>456</v>
      </c>
      <c r="C8" s="798"/>
      <c r="D8" s="801">
        <f>'Master Lookup'!C18</f>
        <v>52665.599999999999</v>
      </c>
      <c r="E8" s="802">
        <v>1.8</v>
      </c>
      <c r="F8" s="223">
        <f>E8*D8</f>
        <v>94798.080000000002</v>
      </c>
      <c r="G8" s="224"/>
    </row>
    <row r="9" spans="2:7" hidden="1" x14ac:dyDescent="0.25">
      <c r="B9" s="294"/>
      <c r="C9" s="798"/>
      <c r="D9" s="801"/>
      <c r="E9" s="802"/>
      <c r="F9" s="223">
        <f>E9*D9</f>
        <v>0</v>
      </c>
      <c r="G9" s="224"/>
    </row>
    <row r="10" spans="2:7" x14ac:dyDescent="0.25">
      <c r="B10" s="797" t="str">
        <f>'Master Lookup'!B22</f>
        <v>Support Staffing</v>
      </c>
      <c r="C10" s="798"/>
      <c r="D10" s="801">
        <f>'Master Lookup'!C22</f>
        <v>32198.400000000001</v>
      </c>
      <c r="E10" s="800">
        <v>0.4</v>
      </c>
      <c r="F10" s="223">
        <f>E10*D10</f>
        <v>12879.36</v>
      </c>
      <c r="G10" s="225"/>
    </row>
    <row r="11" spans="2:7" x14ac:dyDescent="0.25">
      <c r="B11" s="803" t="s">
        <v>36</v>
      </c>
      <c r="C11" s="804"/>
      <c r="D11" s="804"/>
      <c r="E11" s="805">
        <f>SUM(E6:E10)</f>
        <v>2.6</v>
      </c>
      <c r="F11" s="226">
        <f>SUM(F6:F10)</f>
        <v>139834.82643200003</v>
      </c>
      <c r="G11" s="225"/>
    </row>
    <row r="12" spans="2:7" x14ac:dyDescent="0.25">
      <c r="B12" s="806"/>
      <c r="C12" s="798"/>
      <c r="D12" s="798"/>
      <c r="E12" s="798"/>
      <c r="F12" s="227"/>
      <c r="G12" s="224"/>
    </row>
    <row r="13" spans="2:7" x14ac:dyDescent="0.25">
      <c r="B13" s="807" t="s">
        <v>37</v>
      </c>
      <c r="C13" s="798"/>
      <c r="D13" s="798"/>
      <c r="E13" s="808" t="s">
        <v>38</v>
      </c>
      <c r="F13" s="227"/>
      <c r="G13" s="224"/>
    </row>
    <row r="14" spans="2:7" x14ac:dyDescent="0.25">
      <c r="B14" s="806" t="s">
        <v>14</v>
      </c>
      <c r="C14" s="798"/>
      <c r="D14" s="809">
        <f>'Master Lookup'!C30</f>
        <v>0.224</v>
      </c>
      <c r="E14" s="798"/>
      <c r="F14" s="223">
        <f>F11*D14</f>
        <v>31323.001120768007</v>
      </c>
      <c r="G14" s="224"/>
    </row>
    <row r="15" spans="2:7" x14ac:dyDescent="0.25">
      <c r="B15" s="803" t="s">
        <v>39</v>
      </c>
      <c r="C15" s="804"/>
      <c r="D15" s="804"/>
      <c r="E15" s="810"/>
      <c r="F15" s="226">
        <f>F14+F11</f>
        <v>171157.82755276805</v>
      </c>
      <c r="G15" s="224"/>
    </row>
    <row r="16" spans="2:7" x14ac:dyDescent="0.25">
      <c r="B16" s="806"/>
      <c r="C16" s="798"/>
      <c r="D16" s="798" t="s">
        <v>40</v>
      </c>
      <c r="E16" s="798"/>
      <c r="F16" s="227"/>
      <c r="G16" s="228"/>
    </row>
    <row r="17" spans="2:7" x14ac:dyDescent="0.25">
      <c r="B17" s="806" t="s">
        <v>15</v>
      </c>
      <c r="C17" s="798"/>
      <c r="D17" s="811">
        <f>'Master Lookup'!C25</f>
        <v>6983.3104000000003</v>
      </c>
      <c r="E17" s="812"/>
      <c r="F17" s="229">
        <f>D17*E11</f>
        <v>18156.607040000003</v>
      </c>
      <c r="G17" s="218"/>
    </row>
    <row r="18" spans="2:7" x14ac:dyDescent="0.25">
      <c r="B18" s="806" t="str">
        <f>'Master Lookup'!B29</f>
        <v>PFMLA</v>
      </c>
      <c r="C18" s="798"/>
      <c r="D18" s="813">
        <v>3.7000000000000002E-3</v>
      </c>
      <c r="E18" s="812"/>
      <c r="F18" s="229">
        <f>F11*D18</f>
        <v>517.38885779840018</v>
      </c>
      <c r="G18" s="218"/>
    </row>
    <row r="19" spans="2:7" ht="13.8" thickBot="1" x14ac:dyDescent="0.3">
      <c r="B19" s="814" t="s">
        <v>16</v>
      </c>
      <c r="C19" s="815"/>
      <c r="D19" s="816">
        <f>'Master Lookup'!C26</f>
        <v>1250.2064</v>
      </c>
      <c r="E19" s="817"/>
      <c r="F19" s="401">
        <f>D19*E11</f>
        <v>3250.5366400000003</v>
      </c>
      <c r="G19" s="218"/>
    </row>
    <row r="20" spans="2:7" ht="13.8" thickTop="1" x14ac:dyDescent="0.25">
      <c r="B20" s="818" t="s">
        <v>41</v>
      </c>
      <c r="C20" s="819"/>
      <c r="D20" s="819"/>
      <c r="E20" s="819"/>
      <c r="F20" s="230">
        <f>SUM(F15:F19)</f>
        <v>193082.36009056645</v>
      </c>
      <c r="G20" s="224"/>
    </row>
    <row r="21" spans="2:7" ht="13.8" thickBot="1" x14ac:dyDescent="0.3">
      <c r="B21" s="820" t="s">
        <v>42</v>
      </c>
      <c r="C21" s="821"/>
      <c r="D21" s="822">
        <f>'Master Lookup'!C31</f>
        <v>0.12</v>
      </c>
      <c r="E21" s="823"/>
      <c r="F21" s="231">
        <f>F20*D21</f>
        <v>23169.883210867974</v>
      </c>
      <c r="G21" s="228"/>
    </row>
    <row r="22" spans="2:7" ht="13.8" thickTop="1" x14ac:dyDescent="0.25">
      <c r="B22" s="818" t="s">
        <v>43</v>
      </c>
      <c r="C22" s="824"/>
      <c r="D22" s="824"/>
      <c r="E22" s="824"/>
      <c r="F22" s="232">
        <f>F21+F20</f>
        <v>216252.24330143441</v>
      </c>
      <c r="G22" s="228"/>
    </row>
    <row r="23" spans="2:7" ht="13.8" thickBot="1" x14ac:dyDescent="0.3">
      <c r="B23" s="598" t="s">
        <v>296</v>
      </c>
      <c r="C23" s="825"/>
      <c r="D23" s="560">
        <f>'Master Lookup'!C35</f>
        <v>2.3997532813331963E-2</v>
      </c>
      <c r="E23" s="826"/>
      <c r="F23" s="232">
        <f>F22+(F22*D23)-(F11*D23)</f>
        <v>218086.07277026871</v>
      </c>
      <c r="G23" s="233"/>
    </row>
    <row r="24" spans="2:7" x14ac:dyDescent="0.25">
      <c r="B24" s="806" t="s">
        <v>45</v>
      </c>
      <c r="C24" s="827"/>
      <c r="D24" s="399"/>
      <c r="E24" s="798"/>
      <c r="F24" s="400">
        <f>F23/((E8+E9)*F4)</f>
        <v>80.450816279426263</v>
      </c>
      <c r="G24" s="233"/>
    </row>
    <row r="25" spans="2:7" ht="13.8" thickBot="1" x14ac:dyDescent="0.3">
      <c r="B25" s="828" t="s">
        <v>52</v>
      </c>
      <c r="C25" s="829"/>
      <c r="D25" s="830"/>
      <c r="E25" s="829"/>
      <c r="F25" s="235">
        <f>F24*0.25</f>
        <v>20.112704069856566</v>
      </c>
      <c r="G25" s="234"/>
    </row>
    <row r="26" spans="2:7" ht="12.45" x14ac:dyDescent="0.25">
      <c r="B26" s="237"/>
      <c r="C26" s="237"/>
      <c r="D26" s="237"/>
      <c r="E26" s="238"/>
      <c r="F26" s="239"/>
      <c r="G26" s="236"/>
    </row>
    <row r="27" spans="2:7" ht="12.45" x14ac:dyDescent="0.25">
      <c r="B27" s="237"/>
      <c r="C27" s="237"/>
      <c r="D27" s="237"/>
      <c r="E27" s="240"/>
      <c r="F27" s="241"/>
      <c r="G27" s="237"/>
    </row>
    <row r="28" spans="2:7" ht="12.45" x14ac:dyDescent="0.25">
      <c r="G28" s="237"/>
    </row>
    <row r="29" spans="2:7" ht="12.45" x14ac:dyDescent="0.25">
      <c r="B29" s="140"/>
      <c r="C29" s="140"/>
    </row>
    <row r="30" spans="2:7" ht="12.45" x14ac:dyDescent="0.25">
      <c r="B30" s="732"/>
      <c r="C30" s="732"/>
      <c r="D30" s="732"/>
      <c r="E30" s="732"/>
      <c r="F30" s="732"/>
    </row>
    <row r="31" spans="2:7" x14ac:dyDescent="0.25">
      <c r="B31" s="184"/>
      <c r="C31" s="733"/>
      <c r="D31" s="733"/>
      <c r="E31" s="733"/>
    </row>
    <row r="32" spans="2:7" x14ac:dyDescent="0.25">
      <c r="B32" s="132"/>
      <c r="C32" s="733"/>
      <c r="D32" s="733"/>
      <c r="E32" s="733"/>
    </row>
    <row r="33" spans="2:5" x14ac:dyDescent="0.25">
      <c r="B33" s="132"/>
      <c r="C33" s="733"/>
      <c r="D33" s="733"/>
      <c r="E33" s="733"/>
    </row>
    <row r="34" spans="2:5" x14ac:dyDescent="0.25">
      <c r="B34" s="132"/>
      <c r="C34" s="733"/>
      <c r="D34" s="733"/>
      <c r="E34" s="733"/>
    </row>
    <row r="35" spans="2:5" x14ac:dyDescent="0.25">
      <c r="B35" s="135"/>
      <c r="C35" s="733"/>
      <c r="D35" s="733"/>
      <c r="E35" s="733"/>
    </row>
    <row r="36" spans="2:5" x14ac:dyDescent="0.25">
      <c r="B36" s="88"/>
      <c r="C36" s="135"/>
    </row>
    <row r="37" spans="2:5" x14ac:dyDescent="0.25">
      <c r="B37" s="124"/>
      <c r="C37" s="88"/>
    </row>
    <row r="38" spans="2:5" x14ac:dyDescent="0.25">
      <c r="B38" s="191"/>
      <c r="C38" s="136"/>
    </row>
    <row r="41" spans="2:5" x14ac:dyDescent="0.25">
      <c r="B41" s="199"/>
      <c r="C41" s="118"/>
    </row>
  </sheetData>
  <mergeCells count="3">
    <mergeCell ref="B2:F2"/>
    <mergeCell ref="B30:F30"/>
    <mergeCell ref="C31:E35"/>
  </mergeCells>
  <pageMargins left="0.25" right="0.25" top="0.75" bottom="0.75" header="0.3" footer="0.3"/>
  <pageSetup scale="82" fitToHeight="0" orientation="landscape" cellComments="asDisplayed" r:id="rId1"/>
  <headerFooter>
    <oddFooter>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6"/>
  <sheetViews>
    <sheetView topLeftCell="A49" workbookViewId="0">
      <selection activeCell="T59" sqref="T59"/>
    </sheetView>
  </sheetViews>
  <sheetFormatPr defaultRowHeight="13.2" x14ac:dyDescent="0.25"/>
  <cols>
    <col min="1" max="1" width="11.33203125" style="538" bestFit="1" customWidth="1"/>
    <col min="2" max="2" width="11.109375" style="538" bestFit="1" customWidth="1"/>
    <col min="3" max="3" width="37.33203125" style="538" bestFit="1" customWidth="1"/>
    <col min="4" max="4" width="23.5546875" style="538" bestFit="1" customWidth="1"/>
    <col min="5" max="5" width="12.88671875" style="538" bestFit="1" customWidth="1"/>
    <col min="6" max="17" width="12.44140625" style="538" hidden="1" customWidth="1"/>
    <col min="18" max="18" width="21.6640625" style="538" customWidth="1"/>
    <col min="19" max="19" width="14.6640625" style="538" bestFit="1" customWidth="1"/>
    <col min="20" max="20" width="9" style="538" bestFit="1" customWidth="1"/>
    <col min="21" max="21" width="12.6640625" style="538" bestFit="1" customWidth="1"/>
    <col min="22" max="22" width="12.6640625" style="538" customWidth="1"/>
    <col min="23" max="255" width="9.109375" style="538"/>
    <col min="256" max="256" width="11.33203125" style="538" bestFit="1" customWidth="1"/>
    <col min="257" max="257" width="11.109375" style="538" bestFit="1" customWidth="1"/>
    <col min="258" max="258" width="37.33203125" style="538" bestFit="1" customWidth="1"/>
    <col min="259" max="259" width="37.33203125" style="538" customWidth="1"/>
    <col min="260" max="260" width="15.33203125" style="538" bestFit="1" customWidth="1"/>
    <col min="261" max="261" width="14.33203125" style="538" bestFit="1" customWidth="1"/>
    <col min="262" max="262" width="12.88671875" style="538" bestFit="1" customWidth="1"/>
    <col min="263" max="274" width="12.44140625" style="538" bestFit="1" customWidth="1"/>
    <col min="275" max="275" width="14.109375" style="538" bestFit="1" customWidth="1"/>
    <col min="276" max="511" width="9.109375" style="538"/>
    <col min="512" max="512" width="11.33203125" style="538" bestFit="1" customWidth="1"/>
    <col min="513" max="513" width="11.109375" style="538" bestFit="1" customWidth="1"/>
    <col min="514" max="514" width="37.33203125" style="538" bestFit="1" customWidth="1"/>
    <col min="515" max="515" width="37.33203125" style="538" customWidth="1"/>
    <col min="516" max="516" width="15.33203125" style="538" bestFit="1" customWidth="1"/>
    <col min="517" max="517" width="14.33203125" style="538" bestFit="1" customWidth="1"/>
    <col min="518" max="518" width="12.88671875" style="538" bestFit="1" customWidth="1"/>
    <col min="519" max="530" width="12.44140625" style="538" bestFit="1" customWidth="1"/>
    <col min="531" max="531" width="14.109375" style="538" bestFit="1" customWidth="1"/>
    <col min="532" max="767" width="9.109375" style="538"/>
    <col min="768" max="768" width="11.33203125" style="538" bestFit="1" customWidth="1"/>
    <col min="769" max="769" width="11.109375" style="538" bestFit="1" customWidth="1"/>
    <col min="770" max="770" width="37.33203125" style="538" bestFit="1" customWidth="1"/>
    <col min="771" max="771" width="37.33203125" style="538" customWidth="1"/>
    <col min="772" max="772" width="15.33203125" style="538" bestFit="1" customWidth="1"/>
    <col min="773" max="773" width="14.33203125" style="538" bestFit="1" customWidth="1"/>
    <col min="774" max="774" width="12.88671875" style="538" bestFit="1" customWidth="1"/>
    <col min="775" max="786" width="12.44140625" style="538" bestFit="1" customWidth="1"/>
    <col min="787" max="787" width="14.109375" style="538" bestFit="1" customWidth="1"/>
    <col min="788" max="1023" width="9.109375" style="538"/>
    <col min="1024" max="1024" width="11.33203125" style="538" bestFit="1" customWidth="1"/>
    <col min="1025" max="1025" width="11.109375" style="538" bestFit="1" customWidth="1"/>
    <col min="1026" max="1026" width="37.33203125" style="538" bestFit="1" customWidth="1"/>
    <col min="1027" max="1027" width="37.33203125" style="538" customWidth="1"/>
    <col min="1028" max="1028" width="15.33203125" style="538" bestFit="1" customWidth="1"/>
    <col min="1029" max="1029" width="14.33203125" style="538" bestFit="1" customWidth="1"/>
    <col min="1030" max="1030" width="12.88671875" style="538" bestFit="1" customWidth="1"/>
    <col min="1031" max="1042" width="12.44140625" style="538" bestFit="1" customWidth="1"/>
    <col min="1043" max="1043" width="14.109375" style="538" bestFit="1" customWidth="1"/>
    <col min="1044" max="1279" width="9.109375" style="538"/>
    <col min="1280" max="1280" width="11.33203125" style="538" bestFit="1" customWidth="1"/>
    <col min="1281" max="1281" width="11.109375" style="538" bestFit="1" customWidth="1"/>
    <col min="1282" max="1282" width="37.33203125" style="538" bestFit="1" customWidth="1"/>
    <col min="1283" max="1283" width="37.33203125" style="538" customWidth="1"/>
    <col min="1284" max="1284" width="15.33203125" style="538" bestFit="1" customWidth="1"/>
    <col min="1285" max="1285" width="14.33203125" style="538" bestFit="1" customWidth="1"/>
    <col min="1286" max="1286" width="12.88671875" style="538" bestFit="1" customWidth="1"/>
    <col min="1287" max="1298" width="12.44140625" style="538" bestFit="1" customWidth="1"/>
    <col min="1299" max="1299" width="14.109375" style="538" bestFit="1" customWidth="1"/>
    <col min="1300" max="1535" width="9.109375" style="538"/>
    <col min="1536" max="1536" width="11.33203125" style="538" bestFit="1" customWidth="1"/>
    <col min="1537" max="1537" width="11.109375" style="538" bestFit="1" customWidth="1"/>
    <col min="1538" max="1538" width="37.33203125" style="538" bestFit="1" customWidth="1"/>
    <col min="1539" max="1539" width="37.33203125" style="538" customWidth="1"/>
    <col min="1540" max="1540" width="15.33203125" style="538" bestFit="1" customWidth="1"/>
    <col min="1541" max="1541" width="14.33203125" style="538" bestFit="1" customWidth="1"/>
    <col min="1542" max="1542" width="12.88671875" style="538" bestFit="1" customWidth="1"/>
    <col min="1543" max="1554" width="12.44140625" style="538" bestFit="1" customWidth="1"/>
    <col min="1555" max="1555" width="14.109375" style="538" bestFit="1" customWidth="1"/>
    <col min="1556" max="1791" width="9.109375" style="538"/>
    <col min="1792" max="1792" width="11.33203125" style="538" bestFit="1" customWidth="1"/>
    <col min="1793" max="1793" width="11.109375" style="538" bestFit="1" customWidth="1"/>
    <col min="1794" max="1794" width="37.33203125" style="538" bestFit="1" customWidth="1"/>
    <col min="1795" max="1795" width="37.33203125" style="538" customWidth="1"/>
    <col min="1796" max="1796" width="15.33203125" style="538" bestFit="1" customWidth="1"/>
    <col min="1797" max="1797" width="14.33203125" style="538" bestFit="1" customWidth="1"/>
    <col min="1798" max="1798" width="12.88671875" style="538" bestFit="1" customWidth="1"/>
    <col min="1799" max="1810" width="12.44140625" style="538" bestFit="1" customWidth="1"/>
    <col min="1811" max="1811" width="14.109375" style="538" bestFit="1" customWidth="1"/>
    <col min="1812" max="2047" width="9.109375" style="538"/>
    <col min="2048" max="2048" width="11.33203125" style="538" bestFit="1" customWidth="1"/>
    <col min="2049" max="2049" width="11.109375" style="538" bestFit="1" customWidth="1"/>
    <col min="2050" max="2050" width="37.33203125" style="538" bestFit="1" customWidth="1"/>
    <col min="2051" max="2051" width="37.33203125" style="538" customWidth="1"/>
    <col min="2052" max="2052" width="15.33203125" style="538" bestFit="1" customWidth="1"/>
    <col min="2053" max="2053" width="14.33203125" style="538" bestFit="1" customWidth="1"/>
    <col min="2054" max="2054" width="12.88671875" style="538" bestFit="1" customWidth="1"/>
    <col min="2055" max="2066" width="12.44140625" style="538" bestFit="1" customWidth="1"/>
    <col min="2067" max="2067" width="14.109375" style="538" bestFit="1" customWidth="1"/>
    <col min="2068" max="2303" width="9.109375" style="538"/>
    <col min="2304" max="2304" width="11.33203125" style="538" bestFit="1" customWidth="1"/>
    <col min="2305" max="2305" width="11.109375" style="538" bestFit="1" customWidth="1"/>
    <col min="2306" max="2306" width="37.33203125" style="538" bestFit="1" customWidth="1"/>
    <col min="2307" max="2307" width="37.33203125" style="538" customWidth="1"/>
    <col min="2308" max="2308" width="15.33203125" style="538" bestFit="1" customWidth="1"/>
    <col min="2309" max="2309" width="14.33203125" style="538" bestFit="1" customWidth="1"/>
    <col min="2310" max="2310" width="12.88671875" style="538" bestFit="1" customWidth="1"/>
    <col min="2311" max="2322" width="12.44140625" style="538" bestFit="1" customWidth="1"/>
    <col min="2323" max="2323" width="14.109375" style="538" bestFit="1" customWidth="1"/>
    <col min="2324" max="2559" width="9.109375" style="538"/>
    <col min="2560" max="2560" width="11.33203125" style="538" bestFit="1" customWidth="1"/>
    <col min="2561" max="2561" width="11.109375" style="538" bestFit="1" customWidth="1"/>
    <col min="2562" max="2562" width="37.33203125" style="538" bestFit="1" customWidth="1"/>
    <col min="2563" max="2563" width="37.33203125" style="538" customWidth="1"/>
    <col min="2564" max="2564" width="15.33203125" style="538" bestFit="1" customWidth="1"/>
    <col min="2565" max="2565" width="14.33203125" style="538" bestFit="1" customWidth="1"/>
    <col min="2566" max="2566" width="12.88671875" style="538" bestFit="1" customWidth="1"/>
    <col min="2567" max="2578" width="12.44140625" style="538" bestFit="1" customWidth="1"/>
    <col min="2579" max="2579" width="14.109375" style="538" bestFit="1" customWidth="1"/>
    <col min="2580" max="2815" width="9.109375" style="538"/>
    <col min="2816" max="2816" width="11.33203125" style="538" bestFit="1" customWidth="1"/>
    <col min="2817" max="2817" width="11.109375" style="538" bestFit="1" customWidth="1"/>
    <col min="2818" max="2818" width="37.33203125" style="538" bestFit="1" customWidth="1"/>
    <col min="2819" max="2819" width="37.33203125" style="538" customWidth="1"/>
    <col min="2820" max="2820" width="15.33203125" style="538" bestFit="1" customWidth="1"/>
    <col min="2821" max="2821" width="14.33203125" style="538" bestFit="1" customWidth="1"/>
    <col min="2822" max="2822" width="12.88671875" style="538" bestFit="1" customWidth="1"/>
    <col min="2823" max="2834" width="12.44140625" style="538" bestFit="1" customWidth="1"/>
    <col min="2835" max="2835" width="14.109375" style="538" bestFit="1" customWidth="1"/>
    <col min="2836" max="3071" width="9.109375" style="538"/>
    <col min="3072" max="3072" width="11.33203125" style="538" bestFit="1" customWidth="1"/>
    <col min="3073" max="3073" width="11.109375" style="538" bestFit="1" customWidth="1"/>
    <col min="3074" max="3074" width="37.33203125" style="538" bestFit="1" customWidth="1"/>
    <col min="3075" max="3075" width="37.33203125" style="538" customWidth="1"/>
    <col min="3076" max="3076" width="15.33203125" style="538" bestFit="1" customWidth="1"/>
    <col min="3077" max="3077" width="14.33203125" style="538" bestFit="1" customWidth="1"/>
    <col min="3078" max="3078" width="12.88671875" style="538" bestFit="1" customWidth="1"/>
    <col min="3079" max="3090" width="12.44140625" style="538" bestFit="1" customWidth="1"/>
    <col min="3091" max="3091" width="14.109375" style="538" bestFit="1" customWidth="1"/>
    <col min="3092" max="3327" width="9.109375" style="538"/>
    <col min="3328" max="3328" width="11.33203125" style="538" bestFit="1" customWidth="1"/>
    <col min="3329" max="3329" width="11.109375" style="538" bestFit="1" customWidth="1"/>
    <col min="3330" max="3330" width="37.33203125" style="538" bestFit="1" customWidth="1"/>
    <col min="3331" max="3331" width="37.33203125" style="538" customWidth="1"/>
    <col min="3332" max="3332" width="15.33203125" style="538" bestFit="1" customWidth="1"/>
    <col min="3333" max="3333" width="14.33203125" style="538" bestFit="1" customWidth="1"/>
    <col min="3334" max="3334" width="12.88671875" style="538" bestFit="1" customWidth="1"/>
    <col min="3335" max="3346" width="12.44140625" style="538" bestFit="1" customWidth="1"/>
    <col min="3347" max="3347" width="14.109375" style="538" bestFit="1" customWidth="1"/>
    <col min="3348" max="3583" width="9.109375" style="538"/>
    <col min="3584" max="3584" width="11.33203125" style="538" bestFit="1" customWidth="1"/>
    <col min="3585" max="3585" width="11.109375" style="538" bestFit="1" customWidth="1"/>
    <col min="3586" max="3586" width="37.33203125" style="538" bestFit="1" customWidth="1"/>
    <col min="3587" max="3587" width="37.33203125" style="538" customWidth="1"/>
    <col min="3588" max="3588" width="15.33203125" style="538" bestFit="1" customWidth="1"/>
    <col min="3589" max="3589" width="14.33203125" style="538" bestFit="1" customWidth="1"/>
    <col min="3590" max="3590" width="12.88671875" style="538" bestFit="1" customWidth="1"/>
    <col min="3591" max="3602" width="12.44140625" style="538" bestFit="1" customWidth="1"/>
    <col min="3603" max="3603" width="14.109375" style="538" bestFit="1" customWidth="1"/>
    <col min="3604" max="3839" width="9.109375" style="538"/>
    <col min="3840" max="3840" width="11.33203125" style="538" bestFit="1" customWidth="1"/>
    <col min="3841" max="3841" width="11.109375" style="538" bestFit="1" customWidth="1"/>
    <col min="3842" max="3842" width="37.33203125" style="538" bestFit="1" customWidth="1"/>
    <col min="3843" max="3843" width="37.33203125" style="538" customWidth="1"/>
    <col min="3844" max="3844" width="15.33203125" style="538" bestFit="1" customWidth="1"/>
    <col min="3845" max="3845" width="14.33203125" style="538" bestFit="1" customWidth="1"/>
    <col min="3846" max="3846" width="12.88671875" style="538" bestFit="1" customWidth="1"/>
    <col min="3847" max="3858" width="12.44140625" style="538" bestFit="1" customWidth="1"/>
    <col min="3859" max="3859" width="14.109375" style="538" bestFit="1" customWidth="1"/>
    <col min="3860" max="4095" width="9.109375" style="538"/>
    <col min="4096" max="4096" width="11.33203125" style="538" bestFit="1" customWidth="1"/>
    <col min="4097" max="4097" width="11.109375" style="538" bestFit="1" customWidth="1"/>
    <col min="4098" max="4098" width="37.33203125" style="538" bestFit="1" customWidth="1"/>
    <col min="4099" max="4099" width="37.33203125" style="538" customWidth="1"/>
    <col min="4100" max="4100" width="15.33203125" style="538" bestFit="1" customWidth="1"/>
    <col min="4101" max="4101" width="14.33203125" style="538" bestFit="1" customWidth="1"/>
    <col min="4102" max="4102" width="12.88671875" style="538" bestFit="1" customWidth="1"/>
    <col min="4103" max="4114" width="12.44140625" style="538" bestFit="1" customWidth="1"/>
    <col min="4115" max="4115" width="14.109375" style="538" bestFit="1" customWidth="1"/>
    <col min="4116" max="4351" width="9.109375" style="538"/>
    <col min="4352" max="4352" width="11.33203125" style="538" bestFit="1" customWidth="1"/>
    <col min="4353" max="4353" width="11.109375" style="538" bestFit="1" customWidth="1"/>
    <col min="4354" max="4354" width="37.33203125" style="538" bestFit="1" customWidth="1"/>
    <col min="4355" max="4355" width="37.33203125" style="538" customWidth="1"/>
    <col min="4356" max="4356" width="15.33203125" style="538" bestFit="1" customWidth="1"/>
    <col min="4357" max="4357" width="14.33203125" style="538" bestFit="1" customWidth="1"/>
    <col min="4358" max="4358" width="12.88671875" style="538" bestFit="1" customWidth="1"/>
    <col min="4359" max="4370" width="12.44140625" style="538" bestFit="1" customWidth="1"/>
    <col min="4371" max="4371" width="14.109375" style="538" bestFit="1" customWidth="1"/>
    <col min="4372" max="4607" width="9.109375" style="538"/>
    <col min="4608" max="4608" width="11.33203125" style="538" bestFit="1" customWidth="1"/>
    <col min="4609" max="4609" width="11.109375" style="538" bestFit="1" customWidth="1"/>
    <col min="4610" max="4610" width="37.33203125" style="538" bestFit="1" customWidth="1"/>
    <col min="4611" max="4611" width="37.33203125" style="538" customWidth="1"/>
    <col min="4612" max="4612" width="15.33203125" style="538" bestFit="1" customWidth="1"/>
    <col min="4613" max="4613" width="14.33203125" style="538" bestFit="1" customWidth="1"/>
    <col min="4614" max="4614" width="12.88671875" style="538" bestFit="1" customWidth="1"/>
    <col min="4615" max="4626" width="12.44140625" style="538" bestFit="1" customWidth="1"/>
    <col min="4627" max="4627" width="14.109375" style="538" bestFit="1" customWidth="1"/>
    <col min="4628" max="4863" width="9.109375" style="538"/>
    <col min="4864" max="4864" width="11.33203125" style="538" bestFit="1" customWidth="1"/>
    <col min="4865" max="4865" width="11.109375" style="538" bestFit="1" customWidth="1"/>
    <col min="4866" max="4866" width="37.33203125" style="538" bestFit="1" customWidth="1"/>
    <col min="4867" max="4867" width="37.33203125" style="538" customWidth="1"/>
    <col min="4868" max="4868" width="15.33203125" style="538" bestFit="1" customWidth="1"/>
    <col min="4869" max="4869" width="14.33203125" style="538" bestFit="1" customWidth="1"/>
    <col min="4870" max="4870" width="12.88671875" style="538" bestFit="1" customWidth="1"/>
    <col min="4871" max="4882" width="12.44140625" style="538" bestFit="1" customWidth="1"/>
    <col min="4883" max="4883" width="14.109375" style="538" bestFit="1" customWidth="1"/>
    <col min="4884" max="5119" width="9.109375" style="538"/>
    <col min="5120" max="5120" width="11.33203125" style="538" bestFit="1" customWidth="1"/>
    <col min="5121" max="5121" width="11.109375" style="538" bestFit="1" customWidth="1"/>
    <col min="5122" max="5122" width="37.33203125" style="538" bestFit="1" customWidth="1"/>
    <col min="5123" max="5123" width="37.33203125" style="538" customWidth="1"/>
    <col min="5124" max="5124" width="15.33203125" style="538" bestFit="1" customWidth="1"/>
    <col min="5125" max="5125" width="14.33203125" style="538" bestFit="1" customWidth="1"/>
    <col min="5126" max="5126" width="12.88671875" style="538" bestFit="1" customWidth="1"/>
    <col min="5127" max="5138" width="12.44140625" style="538" bestFit="1" customWidth="1"/>
    <col min="5139" max="5139" width="14.109375" style="538" bestFit="1" customWidth="1"/>
    <col min="5140" max="5375" width="9.109375" style="538"/>
    <col min="5376" max="5376" width="11.33203125" style="538" bestFit="1" customWidth="1"/>
    <col min="5377" max="5377" width="11.109375" style="538" bestFit="1" customWidth="1"/>
    <col min="5378" max="5378" width="37.33203125" style="538" bestFit="1" customWidth="1"/>
    <col min="5379" max="5379" width="37.33203125" style="538" customWidth="1"/>
    <col min="5380" max="5380" width="15.33203125" style="538" bestFit="1" customWidth="1"/>
    <col min="5381" max="5381" width="14.33203125" style="538" bestFit="1" customWidth="1"/>
    <col min="5382" max="5382" width="12.88671875" style="538" bestFit="1" customWidth="1"/>
    <col min="5383" max="5394" width="12.44140625" style="538" bestFit="1" customWidth="1"/>
    <col min="5395" max="5395" width="14.109375" style="538" bestFit="1" customWidth="1"/>
    <col min="5396" max="5631" width="9.109375" style="538"/>
    <col min="5632" max="5632" width="11.33203125" style="538" bestFit="1" customWidth="1"/>
    <col min="5633" max="5633" width="11.109375" style="538" bestFit="1" customWidth="1"/>
    <col min="5634" max="5634" width="37.33203125" style="538" bestFit="1" customWidth="1"/>
    <col min="5635" max="5635" width="37.33203125" style="538" customWidth="1"/>
    <col min="5636" max="5636" width="15.33203125" style="538" bestFit="1" customWidth="1"/>
    <col min="5637" max="5637" width="14.33203125" style="538" bestFit="1" customWidth="1"/>
    <col min="5638" max="5638" width="12.88671875" style="538" bestFit="1" customWidth="1"/>
    <col min="5639" max="5650" width="12.44140625" style="538" bestFit="1" customWidth="1"/>
    <col min="5651" max="5651" width="14.109375" style="538" bestFit="1" customWidth="1"/>
    <col min="5652" max="5887" width="9.109375" style="538"/>
    <col min="5888" max="5888" width="11.33203125" style="538" bestFit="1" customWidth="1"/>
    <col min="5889" max="5889" width="11.109375" style="538" bestFit="1" customWidth="1"/>
    <col min="5890" max="5890" width="37.33203125" style="538" bestFit="1" customWidth="1"/>
    <col min="5891" max="5891" width="37.33203125" style="538" customWidth="1"/>
    <col min="5892" max="5892" width="15.33203125" style="538" bestFit="1" customWidth="1"/>
    <col min="5893" max="5893" width="14.33203125" style="538" bestFit="1" customWidth="1"/>
    <col min="5894" max="5894" width="12.88671875" style="538" bestFit="1" customWidth="1"/>
    <col min="5895" max="5906" width="12.44140625" style="538" bestFit="1" customWidth="1"/>
    <col min="5907" max="5907" width="14.109375" style="538" bestFit="1" customWidth="1"/>
    <col min="5908" max="6143" width="9.109375" style="538"/>
    <col min="6144" max="6144" width="11.33203125" style="538" bestFit="1" customWidth="1"/>
    <col min="6145" max="6145" width="11.109375" style="538" bestFit="1" customWidth="1"/>
    <col min="6146" max="6146" width="37.33203125" style="538" bestFit="1" customWidth="1"/>
    <col min="6147" max="6147" width="37.33203125" style="538" customWidth="1"/>
    <col min="6148" max="6148" width="15.33203125" style="538" bestFit="1" customWidth="1"/>
    <col min="6149" max="6149" width="14.33203125" style="538" bestFit="1" customWidth="1"/>
    <col min="6150" max="6150" width="12.88671875" style="538" bestFit="1" customWidth="1"/>
    <col min="6151" max="6162" width="12.44140625" style="538" bestFit="1" customWidth="1"/>
    <col min="6163" max="6163" width="14.109375" style="538" bestFit="1" customWidth="1"/>
    <col min="6164" max="6399" width="9.109375" style="538"/>
    <col min="6400" max="6400" width="11.33203125" style="538" bestFit="1" customWidth="1"/>
    <col min="6401" max="6401" width="11.109375" style="538" bestFit="1" customWidth="1"/>
    <col min="6402" max="6402" width="37.33203125" style="538" bestFit="1" customWidth="1"/>
    <col min="6403" max="6403" width="37.33203125" style="538" customWidth="1"/>
    <col min="6404" max="6404" width="15.33203125" style="538" bestFit="1" customWidth="1"/>
    <col min="6405" max="6405" width="14.33203125" style="538" bestFit="1" customWidth="1"/>
    <col min="6406" max="6406" width="12.88671875" style="538" bestFit="1" customWidth="1"/>
    <col min="6407" max="6418" width="12.44140625" style="538" bestFit="1" customWidth="1"/>
    <col min="6419" max="6419" width="14.109375" style="538" bestFit="1" customWidth="1"/>
    <col min="6420" max="6655" width="9.109375" style="538"/>
    <col min="6656" max="6656" width="11.33203125" style="538" bestFit="1" customWidth="1"/>
    <col min="6657" max="6657" width="11.109375" style="538" bestFit="1" customWidth="1"/>
    <col min="6658" max="6658" width="37.33203125" style="538" bestFit="1" customWidth="1"/>
    <col min="6659" max="6659" width="37.33203125" style="538" customWidth="1"/>
    <col min="6660" max="6660" width="15.33203125" style="538" bestFit="1" customWidth="1"/>
    <col min="6661" max="6661" width="14.33203125" style="538" bestFit="1" customWidth="1"/>
    <col min="6662" max="6662" width="12.88671875" style="538" bestFit="1" customWidth="1"/>
    <col min="6663" max="6674" width="12.44140625" style="538" bestFit="1" customWidth="1"/>
    <col min="6675" max="6675" width="14.109375" style="538" bestFit="1" customWidth="1"/>
    <col min="6676" max="6911" width="9.109375" style="538"/>
    <col min="6912" max="6912" width="11.33203125" style="538" bestFit="1" customWidth="1"/>
    <col min="6913" max="6913" width="11.109375" style="538" bestFit="1" customWidth="1"/>
    <col min="6914" max="6914" width="37.33203125" style="538" bestFit="1" customWidth="1"/>
    <col min="6915" max="6915" width="37.33203125" style="538" customWidth="1"/>
    <col min="6916" max="6916" width="15.33203125" style="538" bestFit="1" customWidth="1"/>
    <col min="6917" max="6917" width="14.33203125" style="538" bestFit="1" customWidth="1"/>
    <col min="6918" max="6918" width="12.88671875" style="538" bestFit="1" customWidth="1"/>
    <col min="6919" max="6930" width="12.44140625" style="538" bestFit="1" customWidth="1"/>
    <col min="6931" max="6931" width="14.109375" style="538" bestFit="1" customWidth="1"/>
    <col min="6932" max="7167" width="9.109375" style="538"/>
    <col min="7168" max="7168" width="11.33203125" style="538" bestFit="1" customWidth="1"/>
    <col min="7169" max="7169" width="11.109375" style="538" bestFit="1" customWidth="1"/>
    <col min="7170" max="7170" width="37.33203125" style="538" bestFit="1" customWidth="1"/>
    <col min="7171" max="7171" width="37.33203125" style="538" customWidth="1"/>
    <col min="7172" max="7172" width="15.33203125" style="538" bestFit="1" customWidth="1"/>
    <col min="7173" max="7173" width="14.33203125" style="538" bestFit="1" customWidth="1"/>
    <col min="7174" max="7174" width="12.88671875" style="538" bestFit="1" customWidth="1"/>
    <col min="7175" max="7186" width="12.44140625" style="538" bestFit="1" customWidth="1"/>
    <col min="7187" max="7187" width="14.109375" style="538" bestFit="1" customWidth="1"/>
    <col min="7188" max="7423" width="9.109375" style="538"/>
    <col min="7424" max="7424" width="11.33203125" style="538" bestFit="1" customWidth="1"/>
    <col min="7425" max="7425" width="11.109375" style="538" bestFit="1" customWidth="1"/>
    <col min="7426" max="7426" width="37.33203125" style="538" bestFit="1" customWidth="1"/>
    <col min="7427" max="7427" width="37.33203125" style="538" customWidth="1"/>
    <col min="7428" max="7428" width="15.33203125" style="538" bestFit="1" customWidth="1"/>
    <col min="7429" max="7429" width="14.33203125" style="538" bestFit="1" customWidth="1"/>
    <col min="7430" max="7430" width="12.88671875" style="538" bestFit="1" customWidth="1"/>
    <col min="7431" max="7442" width="12.44140625" style="538" bestFit="1" customWidth="1"/>
    <col min="7443" max="7443" width="14.109375" style="538" bestFit="1" customWidth="1"/>
    <col min="7444" max="7679" width="9.109375" style="538"/>
    <col min="7680" max="7680" width="11.33203125" style="538" bestFit="1" customWidth="1"/>
    <col min="7681" max="7681" width="11.109375" style="538" bestFit="1" customWidth="1"/>
    <col min="7682" max="7682" width="37.33203125" style="538" bestFit="1" customWidth="1"/>
    <col min="7683" max="7683" width="37.33203125" style="538" customWidth="1"/>
    <col min="7684" max="7684" width="15.33203125" style="538" bestFit="1" customWidth="1"/>
    <col min="7685" max="7685" width="14.33203125" style="538" bestFit="1" customWidth="1"/>
    <col min="7686" max="7686" width="12.88671875" style="538" bestFit="1" customWidth="1"/>
    <col min="7687" max="7698" width="12.44140625" style="538" bestFit="1" customWidth="1"/>
    <col min="7699" max="7699" width="14.109375" style="538" bestFit="1" customWidth="1"/>
    <col min="7700" max="7935" width="9.109375" style="538"/>
    <col min="7936" max="7936" width="11.33203125" style="538" bestFit="1" customWidth="1"/>
    <col min="7937" max="7937" width="11.109375" style="538" bestFit="1" customWidth="1"/>
    <col min="7938" max="7938" width="37.33203125" style="538" bestFit="1" customWidth="1"/>
    <col min="7939" max="7939" width="37.33203125" style="538" customWidth="1"/>
    <col min="7940" max="7940" width="15.33203125" style="538" bestFit="1" customWidth="1"/>
    <col min="7941" max="7941" width="14.33203125" style="538" bestFit="1" customWidth="1"/>
    <col min="7942" max="7942" width="12.88671875" style="538" bestFit="1" customWidth="1"/>
    <col min="7943" max="7954" width="12.44140625" style="538" bestFit="1" customWidth="1"/>
    <col min="7955" max="7955" width="14.109375" style="538" bestFit="1" customWidth="1"/>
    <col min="7956" max="8191" width="9.109375" style="538"/>
    <col min="8192" max="8192" width="11.33203125" style="538" bestFit="1" customWidth="1"/>
    <col min="8193" max="8193" width="11.109375" style="538" bestFit="1" customWidth="1"/>
    <col min="8194" max="8194" width="37.33203125" style="538" bestFit="1" customWidth="1"/>
    <col min="8195" max="8195" width="37.33203125" style="538" customWidth="1"/>
    <col min="8196" max="8196" width="15.33203125" style="538" bestFit="1" customWidth="1"/>
    <col min="8197" max="8197" width="14.33203125" style="538" bestFit="1" customWidth="1"/>
    <col min="8198" max="8198" width="12.88671875" style="538" bestFit="1" customWidth="1"/>
    <col min="8199" max="8210" width="12.44140625" style="538" bestFit="1" customWidth="1"/>
    <col min="8211" max="8211" width="14.109375" style="538" bestFit="1" customWidth="1"/>
    <col min="8212" max="8447" width="9.109375" style="538"/>
    <col min="8448" max="8448" width="11.33203125" style="538" bestFit="1" customWidth="1"/>
    <col min="8449" max="8449" width="11.109375" style="538" bestFit="1" customWidth="1"/>
    <col min="8450" max="8450" width="37.33203125" style="538" bestFit="1" customWidth="1"/>
    <col min="8451" max="8451" width="37.33203125" style="538" customWidth="1"/>
    <col min="8452" max="8452" width="15.33203125" style="538" bestFit="1" customWidth="1"/>
    <col min="8453" max="8453" width="14.33203125" style="538" bestFit="1" customWidth="1"/>
    <col min="8454" max="8454" width="12.88671875" style="538" bestFit="1" customWidth="1"/>
    <col min="8455" max="8466" width="12.44140625" style="538" bestFit="1" customWidth="1"/>
    <col min="8467" max="8467" width="14.109375" style="538" bestFit="1" customWidth="1"/>
    <col min="8468" max="8703" width="9.109375" style="538"/>
    <col min="8704" max="8704" width="11.33203125" style="538" bestFit="1" customWidth="1"/>
    <col min="8705" max="8705" width="11.109375" style="538" bestFit="1" customWidth="1"/>
    <col min="8706" max="8706" width="37.33203125" style="538" bestFit="1" customWidth="1"/>
    <col min="8707" max="8707" width="37.33203125" style="538" customWidth="1"/>
    <col min="8708" max="8708" width="15.33203125" style="538" bestFit="1" customWidth="1"/>
    <col min="8709" max="8709" width="14.33203125" style="538" bestFit="1" customWidth="1"/>
    <col min="8710" max="8710" width="12.88671875" style="538" bestFit="1" customWidth="1"/>
    <col min="8711" max="8722" width="12.44140625" style="538" bestFit="1" customWidth="1"/>
    <col min="8723" max="8723" width="14.109375" style="538" bestFit="1" customWidth="1"/>
    <col min="8724" max="8959" width="9.109375" style="538"/>
    <col min="8960" max="8960" width="11.33203125" style="538" bestFit="1" customWidth="1"/>
    <col min="8961" max="8961" width="11.109375" style="538" bestFit="1" customWidth="1"/>
    <col min="8962" max="8962" width="37.33203125" style="538" bestFit="1" customWidth="1"/>
    <col min="8963" max="8963" width="37.33203125" style="538" customWidth="1"/>
    <col min="8964" max="8964" width="15.33203125" style="538" bestFit="1" customWidth="1"/>
    <col min="8965" max="8965" width="14.33203125" style="538" bestFit="1" customWidth="1"/>
    <col min="8966" max="8966" width="12.88671875" style="538" bestFit="1" customWidth="1"/>
    <col min="8967" max="8978" width="12.44140625" style="538" bestFit="1" customWidth="1"/>
    <col min="8979" max="8979" width="14.109375" style="538" bestFit="1" customWidth="1"/>
    <col min="8980" max="9215" width="9.109375" style="538"/>
    <col min="9216" max="9216" width="11.33203125" style="538" bestFit="1" customWidth="1"/>
    <col min="9217" max="9217" width="11.109375" style="538" bestFit="1" customWidth="1"/>
    <col min="9218" max="9218" width="37.33203125" style="538" bestFit="1" customWidth="1"/>
    <col min="9219" max="9219" width="37.33203125" style="538" customWidth="1"/>
    <col min="9220" max="9220" width="15.33203125" style="538" bestFit="1" customWidth="1"/>
    <col min="9221" max="9221" width="14.33203125" style="538" bestFit="1" customWidth="1"/>
    <col min="9222" max="9222" width="12.88671875" style="538" bestFit="1" customWidth="1"/>
    <col min="9223" max="9234" width="12.44140625" style="538" bestFit="1" customWidth="1"/>
    <col min="9235" max="9235" width="14.109375" style="538" bestFit="1" customWidth="1"/>
    <col min="9236" max="9471" width="9.109375" style="538"/>
    <col min="9472" max="9472" width="11.33203125" style="538" bestFit="1" customWidth="1"/>
    <col min="9473" max="9473" width="11.109375" style="538" bestFit="1" customWidth="1"/>
    <col min="9474" max="9474" width="37.33203125" style="538" bestFit="1" customWidth="1"/>
    <col min="9475" max="9475" width="37.33203125" style="538" customWidth="1"/>
    <col min="9476" max="9476" width="15.33203125" style="538" bestFit="1" customWidth="1"/>
    <col min="9477" max="9477" width="14.33203125" style="538" bestFit="1" customWidth="1"/>
    <col min="9478" max="9478" width="12.88671875" style="538" bestFit="1" customWidth="1"/>
    <col min="9479" max="9490" width="12.44140625" style="538" bestFit="1" customWidth="1"/>
    <col min="9491" max="9491" width="14.109375" style="538" bestFit="1" customWidth="1"/>
    <col min="9492" max="9727" width="9.109375" style="538"/>
    <col min="9728" max="9728" width="11.33203125" style="538" bestFit="1" customWidth="1"/>
    <col min="9729" max="9729" width="11.109375" style="538" bestFit="1" customWidth="1"/>
    <col min="9730" max="9730" width="37.33203125" style="538" bestFit="1" customWidth="1"/>
    <col min="9731" max="9731" width="37.33203125" style="538" customWidth="1"/>
    <col min="9732" max="9732" width="15.33203125" style="538" bestFit="1" customWidth="1"/>
    <col min="9733" max="9733" width="14.33203125" style="538" bestFit="1" customWidth="1"/>
    <col min="9734" max="9734" width="12.88671875" style="538" bestFit="1" customWidth="1"/>
    <col min="9735" max="9746" width="12.44140625" style="538" bestFit="1" customWidth="1"/>
    <col min="9747" max="9747" width="14.109375" style="538" bestFit="1" customWidth="1"/>
    <col min="9748" max="9983" width="9.109375" style="538"/>
    <col min="9984" max="9984" width="11.33203125" style="538" bestFit="1" customWidth="1"/>
    <col min="9985" max="9985" width="11.109375" style="538" bestFit="1" customWidth="1"/>
    <col min="9986" max="9986" width="37.33203125" style="538" bestFit="1" customWidth="1"/>
    <col min="9987" max="9987" width="37.33203125" style="538" customWidth="1"/>
    <col min="9988" max="9988" width="15.33203125" style="538" bestFit="1" customWidth="1"/>
    <col min="9989" max="9989" width="14.33203125" style="538" bestFit="1" customWidth="1"/>
    <col min="9990" max="9990" width="12.88671875" style="538" bestFit="1" customWidth="1"/>
    <col min="9991" max="10002" width="12.44140625" style="538" bestFit="1" customWidth="1"/>
    <col min="10003" max="10003" width="14.109375" style="538" bestFit="1" customWidth="1"/>
    <col min="10004" max="10239" width="9.109375" style="538"/>
    <col min="10240" max="10240" width="11.33203125" style="538" bestFit="1" customWidth="1"/>
    <col min="10241" max="10241" width="11.109375" style="538" bestFit="1" customWidth="1"/>
    <col min="10242" max="10242" width="37.33203125" style="538" bestFit="1" customWidth="1"/>
    <col min="10243" max="10243" width="37.33203125" style="538" customWidth="1"/>
    <col min="10244" max="10244" width="15.33203125" style="538" bestFit="1" customWidth="1"/>
    <col min="10245" max="10245" width="14.33203125" style="538" bestFit="1" customWidth="1"/>
    <col min="10246" max="10246" width="12.88671875" style="538" bestFit="1" customWidth="1"/>
    <col min="10247" max="10258" width="12.44140625" style="538" bestFit="1" customWidth="1"/>
    <col min="10259" max="10259" width="14.109375" style="538" bestFit="1" customWidth="1"/>
    <col min="10260" max="10495" width="9.109375" style="538"/>
    <col min="10496" max="10496" width="11.33203125" style="538" bestFit="1" customWidth="1"/>
    <col min="10497" max="10497" width="11.109375" style="538" bestFit="1" customWidth="1"/>
    <col min="10498" max="10498" width="37.33203125" style="538" bestFit="1" customWidth="1"/>
    <col min="10499" max="10499" width="37.33203125" style="538" customWidth="1"/>
    <col min="10500" max="10500" width="15.33203125" style="538" bestFit="1" customWidth="1"/>
    <col min="10501" max="10501" width="14.33203125" style="538" bestFit="1" customWidth="1"/>
    <col min="10502" max="10502" width="12.88671875" style="538" bestFit="1" customWidth="1"/>
    <col min="10503" max="10514" width="12.44140625" style="538" bestFit="1" customWidth="1"/>
    <col min="10515" max="10515" width="14.109375" style="538" bestFit="1" customWidth="1"/>
    <col min="10516" max="10751" width="9.109375" style="538"/>
    <col min="10752" max="10752" width="11.33203125" style="538" bestFit="1" customWidth="1"/>
    <col min="10753" max="10753" width="11.109375" style="538" bestFit="1" customWidth="1"/>
    <col min="10754" max="10754" width="37.33203125" style="538" bestFit="1" customWidth="1"/>
    <col min="10755" max="10755" width="37.33203125" style="538" customWidth="1"/>
    <col min="10756" max="10756" width="15.33203125" style="538" bestFit="1" customWidth="1"/>
    <col min="10757" max="10757" width="14.33203125" style="538" bestFit="1" customWidth="1"/>
    <col min="10758" max="10758" width="12.88671875" style="538" bestFit="1" customWidth="1"/>
    <col min="10759" max="10770" width="12.44140625" style="538" bestFit="1" customWidth="1"/>
    <col min="10771" max="10771" width="14.109375" style="538" bestFit="1" customWidth="1"/>
    <col min="10772" max="11007" width="9.109375" style="538"/>
    <col min="11008" max="11008" width="11.33203125" style="538" bestFit="1" customWidth="1"/>
    <col min="11009" max="11009" width="11.109375" style="538" bestFit="1" customWidth="1"/>
    <col min="11010" max="11010" width="37.33203125" style="538" bestFit="1" customWidth="1"/>
    <col min="11011" max="11011" width="37.33203125" style="538" customWidth="1"/>
    <col min="11012" max="11012" width="15.33203125" style="538" bestFit="1" customWidth="1"/>
    <col min="11013" max="11013" width="14.33203125" style="538" bestFit="1" customWidth="1"/>
    <col min="11014" max="11014" width="12.88671875" style="538" bestFit="1" customWidth="1"/>
    <col min="11015" max="11026" width="12.44140625" style="538" bestFit="1" customWidth="1"/>
    <col min="11027" max="11027" width="14.109375" style="538" bestFit="1" customWidth="1"/>
    <col min="11028" max="11263" width="9.109375" style="538"/>
    <col min="11264" max="11264" width="11.33203125" style="538" bestFit="1" customWidth="1"/>
    <col min="11265" max="11265" width="11.109375" style="538" bestFit="1" customWidth="1"/>
    <col min="11266" max="11266" width="37.33203125" style="538" bestFit="1" customWidth="1"/>
    <col min="11267" max="11267" width="37.33203125" style="538" customWidth="1"/>
    <col min="11268" max="11268" width="15.33203125" style="538" bestFit="1" customWidth="1"/>
    <col min="11269" max="11269" width="14.33203125" style="538" bestFit="1" customWidth="1"/>
    <col min="11270" max="11270" width="12.88671875" style="538" bestFit="1" customWidth="1"/>
    <col min="11271" max="11282" width="12.44140625" style="538" bestFit="1" customWidth="1"/>
    <col min="11283" max="11283" width="14.109375" style="538" bestFit="1" customWidth="1"/>
    <col min="11284" max="11519" width="9.109375" style="538"/>
    <col min="11520" max="11520" width="11.33203125" style="538" bestFit="1" customWidth="1"/>
    <col min="11521" max="11521" width="11.109375" style="538" bestFit="1" customWidth="1"/>
    <col min="11522" max="11522" width="37.33203125" style="538" bestFit="1" customWidth="1"/>
    <col min="11523" max="11523" width="37.33203125" style="538" customWidth="1"/>
    <col min="11524" max="11524" width="15.33203125" style="538" bestFit="1" customWidth="1"/>
    <col min="11525" max="11525" width="14.33203125" style="538" bestFit="1" customWidth="1"/>
    <col min="11526" max="11526" width="12.88671875" style="538" bestFit="1" customWidth="1"/>
    <col min="11527" max="11538" width="12.44140625" style="538" bestFit="1" customWidth="1"/>
    <col min="11539" max="11539" width="14.109375" style="538" bestFit="1" customWidth="1"/>
    <col min="11540" max="11775" width="9.109375" style="538"/>
    <col min="11776" max="11776" width="11.33203125" style="538" bestFit="1" customWidth="1"/>
    <col min="11777" max="11777" width="11.109375" style="538" bestFit="1" customWidth="1"/>
    <col min="11778" max="11778" width="37.33203125" style="538" bestFit="1" customWidth="1"/>
    <col min="11779" max="11779" width="37.33203125" style="538" customWidth="1"/>
    <col min="11780" max="11780" width="15.33203125" style="538" bestFit="1" customWidth="1"/>
    <col min="11781" max="11781" width="14.33203125" style="538" bestFit="1" customWidth="1"/>
    <col min="11782" max="11782" width="12.88671875" style="538" bestFit="1" customWidth="1"/>
    <col min="11783" max="11794" width="12.44140625" style="538" bestFit="1" customWidth="1"/>
    <col min="11795" max="11795" width="14.109375" style="538" bestFit="1" customWidth="1"/>
    <col min="11796" max="12031" width="9.109375" style="538"/>
    <col min="12032" max="12032" width="11.33203125" style="538" bestFit="1" customWidth="1"/>
    <col min="12033" max="12033" width="11.109375" style="538" bestFit="1" customWidth="1"/>
    <col min="12034" max="12034" width="37.33203125" style="538" bestFit="1" customWidth="1"/>
    <col min="12035" max="12035" width="37.33203125" style="538" customWidth="1"/>
    <col min="12036" max="12036" width="15.33203125" style="538" bestFit="1" customWidth="1"/>
    <col min="12037" max="12037" width="14.33203125" style="538" bestFit="1" customWidth="1"/>
    <col min="12038" max="12038" width="12.88671875" style="538" bestFit="1" customWidth="1"/>
    <col min="12039" max="12050" width="12.44140625" style="538" bestFit="1" customWidth="1"/>
    <col min="12051" max="12051" width="14.109375" style="538" bestFit="1" customWidth="1"/>
    <col min="12052" max="12287" width="9.109375" style="538"/>
    <col min="12288" max="12288" width="11.33203125" style="538" bestFit="1" customWidth="1"/>
    <col min="12289" max="12289" width="11.109375" style="538" bestFit="1" customWidth="1"/>
    <col min="12290" max="12290" width="37.33203125" style="538" bestFit="1" customWidth="1"/>
    <col min="12291" max="12291" width="37.33203125" style="538" customWidth="1"/>
    <col min="12292" max="12292" width="15.33203125" style="538" bestFit="1" customWidth="1"/>
    <col min="12293" max="12293" width="14.33203125" style="538" bestFit="1" customWidth="1"/>
    <col min="12294" max="12294" width="12.88671875" style="538" bestFit="1" customWidth="1"/>
    <col min="12295" max="12306" width="12.44140625" style="538" bestFit="1" customWidth="1"/>
    <col min="12307" max="12307" width="14.109375" style="538" bestFit="1" customWidth="1"/>
    <col min="12308" max="12543" width="9.109375" style="538"/>
    <col min="12544" max="12544" width="11.33203125" style="538" bestFit="1" customWidth="1"/>
    <col min="12545" max="12545" width="11.109375" style="538" bestFit="1" customWidth="1"/>
    <col min="12546" max="12546" width="37.33203125" style="538" bestFit="1" customWidth="1"/>
    <col min="12547" max="12547" width="37.33203125" style="538" customWidth="1"/>
    <col min="12548" max="12548" width="15.33203125" style="538" bestFit="1" customWidth="1"/>
    <col min="12549" max="12549" width="14.33203125" style="538" bestFit="1" customWidth="1"/>
    <col min="12550" max="12550" width="12.88671875" style="538" bestFit="1" customWidth="1"/>
    <col min="12551" max="12562" width="12.44140625" style="538" bestFit="1" customWidth="1"/>
    <col min="12563" max="12563" width="14.109375" style="538" bestFit="1" customWidth="1"/>
    <col min="12564" max="12799" width="9.109375" style="538"/>
    <col min="12800" max="12800" width="11.33203125" style="538" bestFit="1" customWidth="1"/>
    <col min="12801" max="12801" width="11.109375" style="538" bestFit="1" customWidth="1"/>
    <col min="12802" max="12802" width="37.33203125" style="538" bestFit="1" customWidth="1"/>
    <col min="12803" max="12803" width="37.33203125" style="538" customWidth="1"/>
    <col min="12804" max="12804" width="15.33203125" style="538" bestFit="1" customWidth="1"/>
    <col min="12805" max="12805" width="14.33203125" style="538" bestFit="1" customWidth="1"/>
    <col min="12806" max="12806" width="12.88671875" style="538" bestFit="1" customWidth="1"/>
    <col min="12807" max="12818" width="12.44140625" style="538" bestFit="1" customWidth="1"/>
    <col min="12819" max="12819" width="14.109375" style="538" bestFit="1" customWidth="1"/>
    <col min="12820" max="13055" width="9.109375" style="538"/>
    <col min="13056" max="13056" width="11.33203125" style="538" bestFit="1" customWidth="1"/>
    <col min="13057" max="13057" width="11.109375" style="538" bestFit="1" customWidth="1"/>
    <col min="13058" max="13058" width="37.33203125" style="538" bestFit="1" customWidth="1"/>
    <col min="13059" max="13059" width="37.33203125" style="538" customWidth="1"/>
    <col min="13060" max="13060" width="15.33203125" style="538" bestFit="1" customWidth="1"/>
    <col min="13061" max="13061" width="14.33203125" style="538" bestFit="1" customWidth="1"/>
    <col min="13062" max="13062" width="12.88671875" style="538" bestFit="1" customWidth="1"/>
    <col min="13063" max="13074" width="12.44140625" style="538" bestFit="1" customWidth="1"/>
    <col min="13075" max="13075" width="14.109375" style="538" bestFit="1" customWidth="1"/>
    <col min="13076" max="13311" width="9.109375" style="538"/>
    <col min="13312" max="13312" width="11.33203125" style="538" bestFit="1" customWidth="1"/>
    <col min="13313" max="13313" width="11.109375" style="538" bestFit="1" customWidth="1"/>
    <col min="13314" max="13314" width="37.33203125" style="538" bestFit="1" customWidth="1"/>
    <col min="13315" max="13315" width="37.33203125" style="538" customWidth="1"/>
    <col min="13316" max="13316" width="15.33203125" style="538" bestFit="1" customWidth="1"/>
    <col min="13317" max="13317" width="14.33203125" style="538" bestFit="1" customWidth="1"/>
    <col min="13318" max="13318" width="12.88671875" style="538" bestFit="1" customWidth="1"/>
    <col min="13319" max="13330" width="12.44140625" style="538" bestFit="1" customWidth="1"/>
    <col min="13331" max="13331" width="14.109375" style="538" bestFit="1" customWidth="1"/>
    <col min="13332" max="13567" width="9.109375" style="538"/>
    <col min="13568" max="13568" width="11.33203125" style="538" bestFit="1" customWidth="1"/>
    <col min="13569" max="13569" width="11.109375" style="538" bestFit="1" customWidth="1"/>
    <col min="13570" max="13570" width="37.33203125" style="538" bestFit="1" customWidth="1"/>
    <col min="13571" max="13571" width="37.33203125" style="538" customWidth="1"/>
    <col min="13572" max="13572" width="15.33203125" style="538" bestFit="1" customWidth="1"/>
    <col min="13573" max="13573" width="14.33203125" style="538" bestFit="1" customWidth="1"/>
    <col min="13574" max="13574" width="12.88671875" style="538" bestFit="1" customWidth="1"/>
    <col min="13575" max="13586" width="12.44140625" style="538" bestFit="1" customWidth="1"/>
    <col min="13587" max="13587" width="14.109375" style="538" bestFit="1" customWidth="1"/>
    <col min="13588" max="13823" width="9.109375" style="538"/>
    <col min="13824" max="13824" width="11.33203125" style="538" bestFit="1" customWidth="1"/>
    <col min="13825" max="13825" width="11.109375" style="538" bestFit="1" customWidth="1"/>
    <col min="13826" max="13826" width="37.33203125" style="538" bestFit="1" customWidth="1"/>
    <col min="13827" max="13827" width="37.33203125" style="538" customWidth="1"/>
    <col min="13828" max="13828" width="15.33203125" style="538" bestFit="1" customWidth="1"/>
    <col min="13829" max="13829" width="14.33203125" style="538" bestFit="1" customWidth="1"/>
    <col min="13830" max="13830" width="12.88671875" style="538" bestFit="1" customWidth="1"/>
    <col min="13831" max="13842" width="12.44140625" style="538" bestFit="1" customWidth="1"/>
    <col min="13843" max="13843" width="14.109375" style="538" bestFit="1" customWidth="1"/>
    <col min="13844" max="14079" width="9.109375" style="538"/>
    <col min="14080" max="14080" width="11.33203125" style="538" bestFit="1" customWidth="1"/>
    <col min="14081" max="14081" width="11.109375" style="538" bestFit="1" customWidth="1"/>
    <col min="14082" max="14082" width="37.33203125" style="538" bestFit="1" customWidth="1"/>
    <col min="14083" max="14083" width="37.33203125" style="538" customWidth="1"/>
    <col min="14084" max="14084" width="15.33203125" style="538" bestFit="1" customWidth="1"/>
    <col min="14085" max="14085" width="14.33203125" style="538" bestFit="1" customWidth="1"/>
    <col min="14086" max="14086" width="12.88671875" style="538" bestFit="1" customWidth="1"/>
    <col min="14087" max="14098" width="12.44140625" style="538" bestFit="1" customWidth="1"/>
    <col min="14099" max="14099" width="14.109375" style="538" bestFit="1" customWidth="1"/>
    <col min="14100" max="14335" width="9.109375" style="538"/>
    <col min="14336" max="14336" width="11.33203125" style="538" bestFit="1" customWidth="1"/>
    <col min="14337" max="14337" width="11.109375" style="538" bestFit="1" customWidth="1"/>
    <col min="14338" max="14338" width="37.33203125" style="538" bestFit="1" customWidth="1"/>
    <col min="14339" max="14339" width="37.33203125" style="538" customWidth="1"/>
    <col min="14340" max="14340" width="15.33203125" style="538" bestFit="1" customWidth="1"/>
    <col min="14341" max="14341" width="14.33203125" style="538" bestFit="1" customWidth="1"/>
    <col min="14342" max="14342" width="12.88671875" style="538" bestFit="1" customWidth="1"/>
    <col min="14343" max="14354" width="12.44140625" style="538" bestFit="1" customWidth="1"/>
    <col min="14355" max="14355" width="14.109375" style="538" bestFit="1" customWidth="1"/>
    <col min="14356" max="14591" width="9.109375" style="538"/>
    <col min="14592" max="14592" width="11.33203125" style="538" bestFit="1" customWidth="1"/>
    <col min="14593" max="14593" width="11.109375" style="538" bestFit="1" customWidth="1"/>
    <col min="14594" max="14594" width="37.33203125" style="538" bestFit="1" customWidth="1"/>
    <col min="14595" max="14595" width="37.33203125" style="538" customWidth="1"/>
    <col min="14596" max="14596" width="15.33203125" style="538" bestFit="1" customWidth="1"/>
    <col min="14597" max="14597" width="14.33203125" style="538" bestFit="1" customWidth="1"/>
    <col min="14598" max="14598" width="12.88671875" style="538" bestFit="1" customWidth="1"/>
    <col min="14599" max="14610" width="12.44140625" style="538" bestFit="1" customWidth="1"/>
    <col min="14611" max="14611" width="14.109375" style="538" bestFit="1" customWidth="1"/>
    <col min="14612" max="14847" width="9.109375" style="538"/>
    <col min="14848" max="14848" width="11.33203125" style="538" bestFit="1" customWidth="1"/>
    <col min="14849" max="14849" width="11.109375" style="538" bestFit="1" customWidth="1"/>
    <col min="14850" max="14850" width="37.33203125" style="538" bestFit="1" customWidth="1"/>
    <col min="14851" max="14851" width="37.33203125" style="538" customWidth="1"/>
    <col min="14852" max="14852" width="15.33203125" style="538" bestFit="1" customWidth="1"/>
    <col min="14853" max="14853" width="14.33203125" style="538" bestFit="1" customWidth="1"/>
    <col min="14854" max="14854" width="12.88671875" style="538" bestFit="1" customWidth="1"/>
    <col min="14855" max="14866" width="12.44140625" style="538" bestFit="1" customWidth="1"/>
    <col min="14867" max="14867" width="14.109375" style="538" bestFit="1" customWidth="1"/>
    <col min="14868" max="15103" width="9.109375" style="538"/>
    <col min="15104" max="15104" width="11.33203125" style="538" bestFit="1" customWidth="1"/>
    <col min="15105" max="15105" width="11.109375" style="538" bestFit="1" customWidth="1"/>
    <col min="15106" max="15106" width="37.33203125" style="538" bestFit="1" customWidth="1"/>
    <col min="15107" max="15107" width="37.33203125" style="538" customWidth="1"/>
    <col min="15108" max="15108" width="15.33203125" style="538" bestFit="1" customWidth="1"/>
    <col min="15109" max="15109" width="14.33203125" style="538" bestFit="1" customWidth="1"/>
    <col min="15110" max="15110" width="12.88671875" style="538" bestFit="1" customWidth="1"/>
    <col min="15111" max="15122" width="12.44140625" style="538" bestFit="1" customWidth="1"/>
    <col min="15123" max="15123" width="14.109375" style="538" bestFit="1" customWidth="1"/>
    <col min="15124" max="15359" width="9.109375" style="538"/>
    <col min="15360" max="15360" width="11.33203125" style="538" bestFit="1" customWidth="1"/>
    <col min="15361" max="15361" width="11.109375" style="538" bestFit="1" customWidth="1"/>
    <col min="15362" max="15362" width="37.33203125" style="538" bestFit="1" customWidth="1"/>
    <col min="15363" max="15363" width="37.33203125" style="538" customWidth="1"/>
    <col min="15364" max="15364" width="15.33203125" style="538" bestFit="1" customWidth="1"/>
    <col min="15365" max="15365" width="14.33203125" style="538" bestFit="1" customWidth="1"/>
    <col min="15366" max="15366" width="12.88671875" style="538" bestFit="1" customWidth="1"/>
    <col min="15367" max="15378" width="12.44140625" style="538" bestFit="1" customWidth="1"/>
    <col min="15379" max="15379" width="14.109375" style="538" bestFit="1" customWidth="1"/>
    <col min="15380" max="15615" width="9.109375" style="538"/>
    <col min="15616" max="15616" width="11.33203125" style="538" bestFit="1" customWidth="1"/>
    <col min="15617" max="15617" width="11.109375" style="538" bestFit="1" customWidth="1"/>
    <col min="15618" max="15618" width="37.33203125" style="538" bestFit="1" customWidth="1"/>
    <col min="15619" max="15619" width="37.33203125" style="538" customWidth="1"/>
    <col min="15620" max="15620" width="15.33203125" style="538" bestFit="1" customWidth="1"/>
    <col min="15621" max="15621" width="14.33203125" style="538" bestFit="1" customWidth="1"/>
    <col min="15622" max="15622" width="12.88671875" style="538" bestFit="1" customWidth="1"/>
    <col min="15623" max="15634" width="12.44140625" style="538" bestFit="1" customWidth="1"/>
    <col min="15635" max="15635" width="14.109375" style="538" bestFit="1" customWidth="1"/>
    <col min="15636" max="15871" width="9.109375" style="538"/>
    <col min="15872" max="15872" width="11.33203125" style="538" bestFit="1" customWidth="1"/>
    <col min="15873" max="15873" width="11.109375" style="538" bestFit="1" customWidth="1"/>
    <col min="15874" max="15874" width="37.33203125" style="538" bestFit="1" customWidth="1"/>
    <col min="15875" max="15875" width="37.33203125" style="538" customWidth="1"/>
    <col min="15876" max="15876" width="15.33203125" style="538" bestFit="1" customWidth="1"/>
    <col min="15877" max="15877" width="14.33203125" style="538" bestFit="1" customWidth="1"/>
    <col min="15878" max="15878" width="12.88671875" style="538" bestFit="1" customWidth="1"/>
    <col min="15879" max="15890" width="12.44140625" style="538" bestFit="1" customWidth="1"/>
    <col min="15891" max="15891" width="14.109375" style="538" bestFit="1" customWidth="1"/>
    <col min="15892" max="16127" width="9.109375" style="538"/>
    <col min="16128" max="16128" width="11.33203125" style="538" bestFit="1" customWidth="1"/>
    <col min="16129" max="16129" width="11.109375" style="538" bestFit="1" customWidth="1"/>
    <col min="16130" max="16130" width="37.33203125" style="538" bestFit="1" customWidth="1"/>
    <col min="16131" max="16131" width="37.33203125" style="538" customWidth="1"/>
    <col min="16132" max="16132" width="15.33203125" style="538" bestFit="1" customWidth="1"/>
    <col min="16133" max="16133" width="14.33203125" style="538" bestFit="1" customWidth="1"/>
    <col min="16134" max="16134" width="12.88671875" style="538" bestFit="1" customWidth="1"/>
    <col min="16135" max="16146" width="12.44140625" style="538" bestFit="1" customWidth="1"/>
    <col min="16147" max="16147" width="14.109375" style="538" bestFit="1" customWidth="1"/>
    <col min="16148" max="16384" width="9.109375" style="538"/>
  </cols>
  <sheetData>
    <row r="3" spans="1:23" ht="15.45" x14ac:dyDescent="0.35">
      <c r="A3" s="537" t="s">
        <v>385</v>
      </c>
    </row>
    <row r="4" spans="1:23" ht="13.95" x14ac:dyDescent="0.3">
      <c r="A4" s="539" t="s">
        <v>386</v>
      </c>
    </row>
    <row r="5" spans="1:23" ht="13.5" thickBot="1" x14ac:dyDescent="0.35">
      <c r="E5" s="674" t="s">
        <v>452</v>
      </c>
      <c r="T5" s="734" t="s">
        <v>133</v>
      </c>
      <c r="U5" s="734"/>
    </row>
    <row r="6" spans="1:23" ht="14.4" thickBot="1" x14ac:dyDescent="0.3">
      <c r="A6" s="540" t="s">
        <v>387</v>
      </c>
      <c r="B6" s="540" t="s">
        <v>388</v>
      </c>
      <c r="C6" s="540" t="s">
        <v>389</v>
      </c>
      <c r="D6" s="540" t="s">
        <v>390</v>
      </c>
      <c r="E6" s="540" t="s">
        <v>391</v>
      </c>
      <c r="F6" s="541" t="s">
        <v>392</v>
      </c>
      <c r="G6" s="541" t="s">
        <v>393</v>
      </c>
      <c r="H6" s="541" t="s">
        <v>394</v>
      </c>
      <c r="I6" s="541" t="s">
        <v>395</v>
      </c>
      <c r="J6" s="541" t="s">
        <v>396</v>
      </c>
      <c r="K6" s="541" t="s">
        <v>397</v>
      </c>
      <c r="L6" s="541" t="s">
        <v>398</v>
      </c>
      <c r="M6" s="541" t="s">
        <v>399</v>
      </c>
      <c r="N6" s="541" t="s">
        <v>400</v>
      </c>
      <c r="O6" s="541" t="s">
        <v>401</v>
      </c>
      <c r="P6" s="541" t="s">
        <v>402</v>
      </c>
      <c r="Q6" s="542" t="s">
        <v>403</v>
      </c>
      <c r="R6" s="543" t="s">
        <v>451</v>
      </c>
      <c r="S6" s="543" t="s">
        <v>404</v>
      </c>
      <c r="T6" s="679" t="s">
        <v>64</v>
      </c>
      <c r="U6" s="680" t="s">
        <v>448</v>
      </c>
    </row>
    <row r="7" spans="1:23" ht="14.55" x14ac:dyDescent="0.35">
      <c r="A7" s="544" t="s">
        <v>406</v>
      </c>
      <c r="B7" s="544" t="s">
        <v>69</v>
      </c>
      <c r="C7" s="544" t="s">
        <v>407</v>
      </c>
      <c r="D7" s="544" t="s">
        <v>408</v>
      </c>
      <c r="E7" s="545">
        <v>18.71</v>
      </c>
      <c r="F7" s="546">
        <v>1173</v>
      </c>
      <c r="G7" s="546">
        <v>1449</v>
      </c>
      <c r="H7" s="546">
        <v>1086.75</v>
      </c>
      <c r="I7" s="546">
        <v>1690.5</v>
      </c>
      <c r="J7" s="546">
        <v>1207.5</v>
      </c>
      <c r="K7" s="546">
        <v>1621.5</v>
      </c>
      <c r="L7" s="546">
        <v>0</v>
      </c>
      <c r="M7" s="546">
        <v>0</v>
      </c>
      <c r="N7" s="546">
        <v>0</v>
      </c>
      <c r="O7" s="546">
        <v>0</v>
      </c>
      <c r="P7" s="546">
        <v>0</v>
      </c>
      <c r="Q7" s="546">
        <v>0</v>
      </c>
      <c r="R7" s="548">
        <v>477</v>
      </c>
      <c r="S7" s="547">
        <f>R7*E7</f>
        <v>8924.67</v>
      </c>
      <c r="T7" s="675">
        <f>'Outpatient Counseling '!R7</f>
        <v>19.599435564957187</v>
      </c>
      <c r="U7" s="676">
        <f t="shared" ref="U7:U38" si="0">T7*R7</f>
        <v>9348.9307644845776</v>
      </c>
      <c r="V7" s="555"/>
    </row>
    <row r="8" spans="1:23" ht="14.55" x14ac:dyDescent="0.35">
      <c r="A8" s="544" t="s">
        <v>406</v>
      </c>
      <c r="B8" s="544" t="s">
        <v>69</v>
      </c>
      <c r="C8" s="544" t="s">
        <v>407</v>
      </c>
      <c r="D8" s="544" t="s">
        <v>408</v>
      </c>
      <c r="E8" s="545">
        <v>18.71</v>
      </c>
      <c r="F8" s="546">
        <v>0</v>
      </c>
      <c r="G8" s="546">
        <v>0</v>
      </c>
      <c r="H8" s="546">
        <v>0</v>
      </c>
      <c r="I8" s="546">
        <v>0</v>
      </c>
      <c r="J8" s="546">
        <v>0</v>
      </c>
      <c r="K8" s="546">
        <v>0</v>
      </c>
      <c r="L8" s="546">
        <v>898.07999999999993</v>
      </c>
      <c r="M8" s="546">
        <v>785.81999999999994</v>
      </c>
      <c r="N8" s="546">
        <v>112.26</v>
      </c>
      <c r="O8" s="546">
        <v>0</v>
      </c>
      <c r="P8" s="546">
        <v>0</v>
      </c>
      <c r="Q8" s="546">
        <v>187.10000000000002</v>
      </c>
      <c r="R8" s="548">
        <v>106</v>
      </c>
      <c r="S8" s="547">
        <f t="shared" ref="S8:S71" si="1">R8*E8</f>
        <v>1983.26</v>
      </c>
      <c r="T8" s="675">
        <f>'Outpatient Counseling '!R7</f>
        <v>19.599435564957187</v>
      </c>
      <c r="U8" s="676">
        <f t="shared" si="0"/>
        <v>2077.5401698854616</v>
      </c>
      <c r="V8" s="555"/>
    </row>
    <row r="9" spans="1:23" ht="14.55" x14ac:dyDescent="0.35">
      <c r="A9" s="544" t="s">
        <v>406</v>
      </c>
      <c r="B9" s="544" t="s">
        <v>409</v>
      </c>
      <c r="C9" s="544" t="s">
        <v>407</v>
      </c>
      <c r="D9" s="544" t="s">
        <v>410</v>
      </c>
      <c r="E9" s="545">
        <v>14.7</v>
      </c>
      <c r="F9" s="546">
        <v>23420.86</v>
      </c>
      <c r="G9" s="546">
        <v>23209.980000000003</v>
      </c>
      <c r="H9" s="546">
        <v>18438.82</v>
      </c>
      <c r="I9" s="546">
        <v>23644.92</v>
      </c>
      <c r="J9" s="546">
        <v>25292.42</v>
      </c>
      <c r="K9" s="546">
        <v>28271.1</v>
      </c>
      <c r="L9" s="546">
        <v>0</v>
      </c>
      <c r="M9" s="546">
        <v>0</v>
      </c>
      <c r="N9" s="546">
        <v>0</v>
      </c>
      <c r="O9" s="546">
        <v>0</v>
      </c>
      <c r="P9" s="546">
        <v>0</v>
      </c>
      <c r="Q9" s="546">
        <v>0</v>
      </c>
      <c r="R9" s="548">
        <v>10795</v>
      </c>
      <c r="S9" s="547">
        <f t="shared" si="1"/>
        <v>158686.5</v>
      </c>
      <c r="T9" s="675">
        <f>'Case Management'!L24</f>
        <v>16.220952789599341</v>
      </c>
      <c r="U9" s="676">
        <f t="shared" si="0"/>
        <v>175105.18536372489</v>
      </c>
      <c r="V9" s="555"/>
    </row>
    <row r="10" spans="1:23" ht="14.55" x14ac:dyDescent="0.35">
      <c r="A10" s="544" t="s">
        <v>406</v>
      </c>
      <c r="B10" s="544" t="s">
        <v>409</v>
      </c>
      <c r="C10" s="544" t="s">
        <v>407</v>
      </c>
      <c r="D10" s="544" t="s">
        <v>410</v>
      </c>
      <c r="E10" s="545">
        <v>14.7</v>
      </c>
      <c r="F10" s="546">
        <v>0</v>
      </c>
      <c r="G10" s="546">
        <v>0</v>
      </c>
      <c r="H10" s="546">
        <v>0</v>
      </c>
      <c r="I10" s="546">
        <v>0</v>
      </c>
      <c r="J10" s="546">
        <v>0</v>
      </c>
      <c r="K10" s="546">
        <v>0</v>
      </c>
      <c r="L10" s="546">
        <v>28370.999999999996</v>
      </c>
      <c r="M10" s="546">
        <v>23975.699999999997</v>
      </c>
      <c r="N10" s="546">
        <v>16993.2</v>
      </c>
      <c r="O10" s="546">
        <v>38763.9</v>
      </c>
      <c r="P10" s="546">
        <v>27165.600000000002</v>
      </c>
      <c r="Q10" s="546">
        <v>25460.399999999998</v>
      </c>
      <c r="R10" s="548">
        <v>10934</v>
      </c>
      <c r="S10" s="547">
        <f t="shared" si="1"/>
        <v>160729.79999999999</v>
      </c>
      <c r="T10" s="675">
        <f>'Case Management'!L24</f>
        <v>16.220952789599341</v>
      </c>
      <c r="U10" s="676">
        <f t="shared" si="0"/>
        <v>177359.89780147921</v>
      </c>
      <c r="V10" s="555"/>
    </row>
    <row r="11" spans="1:23" ht="14.55" x14ac:dyDescent="0.35">
      <c r="A11" s="544" t="s">
        <v>406</v>
      </c>
      <c r="B11" s="544" t="s">
        <v>411</v>
      </c>
      <c r="C11" s="544" t="s">
        <v>407</v>
      </c>
      <c r="D11" s="544" t="s">
        <v>412</v>
      </c>
      <c r="E11" s="545">
        <f>'Case Management'!F25</f>
        <v>20.93</v>
      </c>
      <c r="F11" s="546">
        <v>2180.66</v>
      </c>
      <c r="G11" s="546">
        <v>1161.6600000000001</v>
      </c>
      <c r="H11" s="546">
        <v>346.46</v>
      </c>
      <c r="I11" s="546">
        <v>0</v>
      </c>
      <c r="J11" s="546">
        <v>20.38</v>
      </c>
      <c r="K11" s="546">
        <v>733.68</v>
      </c>
      <c r="L11" s="546">
        <v>0</v>
      </c>
      <c r="M11" s="546">
        <v>0</v>
      </c>
      <c r="N11" s="546">
        <v>0</v>
      </c>
      <c r="O11" s="546">
        <v>0</v>
      </c>
      <c r="P11" s="546">
        <v>0</v>
      </c>
      <c r="Q11" s="546">
        <v>0</v>
      </c>
      <c r="R11" s="548">
        <v>218</v>
      </c>
      <c r="S11" s="547">
        <f t="shared" si="1"/>
        <v>4562.74</v>
      </c>
      <c r="T11" s="675">
        <f>'Case Management'!F24</f>
        <v>20.14226865397033</v>
      </c>
      <c r="U11" s="676">
        <f t="shared" si="0"/>
        <v>4391.0145665655318</v>
      </c>
      <c r="V11" s="555"/>
    </row>
    <row r="12" spans="1:23" ht="14.55" x14ac:dyDescent="0.35">
      <c r="A12" s="544" t="s">
        <v>406</v>
      </c>
      <c r="B12" s="544" t="s">
        <v>413</v>
      </c>
      <c r="C12" s="544" t="s">
        <v>407</v>
      </c>
      <c r="D12" s="544" t="s">
        <v>318</v>
      </c>
      <c r="E12" s="545">
        <f>'Recovery Coaching'!F25</f>
        <v>14.57</v>
      </c>
      <c r="F12" s="546">
        <v>86111.08</v>
      </c>
      <c r="G12" s="546">
        <v>63214.25</v>
      </c>
      <c r="H12" s="546">
        <v>44284.9</v>
      </c>
      <c r="I12" s="546">
        <v>45123.1</v>
      </c>
      <c r="J12" s="546">
        <v>39353.490000000005</v>
      </c>
      <c r="K12" s="546">
        <v>43558.459999999992</v>
      </c>
      <c r="L12" s="546">
        <v>0</v>
      </c>
      <c r="M12" s="546">
        <v>0</v>
      </c>
      <c r="N12" s="546">
        <v>0</v>
      </c>
      <c r="O12" s="546">
        <v>0</v>
      </c>
      <c r="P12" s="546">
        <v>0</v>
      </c>
      <c r="Q12" s="546">
        <v>0</v>
      </c>
      <c r="R12" s="548">
        <v>23024</v>
      </c>
      <c r="S12" s="547">
        <f t="shared" si="1"/>
        <v>335459.68</v>
      </c>
      <c r="T12" s="675">
        <f>'Recovery Coaching'!F24</f>
        <v>14.908900350869741</v>
      </c>
      <c r="U12" s="676">
        <f t="shared" si="0"/>
        <v>343262.52167842491</v>
      </c>
      <c r="V12" s="555"/>
    </row>
    <row r="13" spans="1:23" ht="14.55" x14ac:dyDescent="0.35">
      <c r="A13" s="544" t="s">
        <v>406</v>
      </c>
      <c r="B13" s="544" t="s">
        <v>413</v>
      </c>
      <c r="C13" s="544" t="s">
        <v>407</v>
      </c>
      <c r="D13" s="544" t="s">
        <v>318</v>
      </c>
      <c r="E13" s="545">
        <v>14.57</v>
      </c>
      <c r="F13" s="546">
        <v>0</v>
      </c>
      <c r="G13" s="546">
        <v>0</v>
      </c>
      <c r="H13" s="546">
        <v>0</v>
      </c>
      <c r="I13" s="546">
        <v>0</v>
      </c>
      <c r="J13" s="546">
        <v>0</v>
      </c>
      <c r="K13" s="546">
        <v>0</v>
      </c>
      <c r="L13" s="546">
        <v>47600.19</v>
      </c>
      <c r="M13" s="546">
        <v>33656.699999999997</v>
      </c>
      <c r="N13" s="546">
        <v>41203.96</v>
      </c>
      <c r="O13" s="546">
        <v>49421.439999999988</v>
      </c>
      <c r="P13" s="546">
        <v>52277.159999999996</v>
      </c>
      <c r="Q13" s="546">
        <v>43986.829999999994</v>
      </c>
      <c r="R13" s="548">
        <v>18404</v>
      </c>
      <c r="S13" s="547">
        <f t="shared" si="1"/>
        <v>268146.28000000003</v>
      </c>
      <c r="T13" s="675">
        <f>'Recovery Coaching'!F24</f>
        <v>14.908900350869741</v>
      </c>
      <c r="U13" s="676">
        <f t="shared" si="0"/>
        <v>274383.40205740673</v>
      </c>
      <c r="V13" s="555"/>
    </row>
    <row r="14" spans="1:23" ht="14.55" x14ac:dyDescent="0.35">
      <c r="A14" s="544" t="s">
        <v>406</v>
      </c>
      <c r="B14" s="544" t="s">
        <v>414</v>
      </c>
      <c r="C14" s="544" t="s">
        <v>407</v>
      </c>
      <c r="D14" s="544" t="s">
        <v>102</v>
      </c>
      <c r="E14" s="545">
        <v>11.84</v>
      </c>
      <c r="F14" s="546">
        <v>61.14</v>
      </c>
      <c r="G14" s="546">
        <v>0</v>
      </c>
      <c r="H14" s="546">
        <v>0</v>
      </c>
      <c r="I14" s="546">
        <v>0</v>
      </c>
      <c r="J14" s="546">
        <v>0</v>
      </c>
      <c r="K14" s="546">
        <v>0</v>
      </c>
      <c r="L14" s="546">
        <v>0</v>
      </c>
      <c r="M14" s="546">
        <v>0</v>
      </c>
      <c r="N14" s="546">
        <v>0</v>
      </c>
      <c r="O14" s="546">
        <v>0</v>
      </c>
      <c r="P14" s="546">
        <v>0</v>
      </c>
      <c r="Q14" s="546">
        <v>0</v>
      </c>
      <c r="R14" s="548">
        <v>6</v>
      </c>
      <c r="S14" s="547">
        <f t="shared" si="1"/>
        <v>71.039999999999992</v>
      </c>
      <c r="T14" s="675">
        <f>'Telephone Rec'!F23</f>
        <v>13.242878557698054</v>
      </c>
      <c r="U14" s="676">
        <f t="shared" si="0"/>
        <v>79.457271346188321</v>
      </c>
      <c r="V14" s="555"/>
    </row>
    <row r="15" spans="1:23" ht="14.55" x14ac:dyDescent="0.35">
      <c r="A15" s="544" t="s">
        <v>406</v>
      </c>
      <c r="B15" s="544" t="s">
        <v>414</v>
      </c>
      <c r="C15" s="544" t="s">
        <v>407</v>
      </c>
      <c r="D15" s="544" t="s">
        <v>102</v>
      </c>
      <c r="E15" s="545">
        <v>11.84</v>
      </c>
      <c r="F15" s="546">
        <v>0</v>
      </c>
      <c r="G15" s="546">
        <v>0</v>
      </c>
      <c r="H15" s="546">
        <v>0</v>
      </c>
      <c r="I15" s="546">
        <v>0</v>
      </c>
      <c r="J15" s="546">
        <v>0</v>
      </c>
      <c r="K15" s="546">
        <v>0</v>
      </c>
      <c r="L15" s="546">
        <v>0</v>
      </c>
      <c r="M15" s="546">
        <v>0</v>
      </c>
      <c r="N15" s="546">
        <v>11.84</v>
      </c>
      <c r="O15" s="546">
        <v>153.91999999999999</v>
      </c>
      <c r="P15" s="546">
        <v>59.2</v>
      </c>
      <c r="Q15" s="546">
        <v>0</v>
      </c>
      <c r="R15" s="548">
        <v>19</v>
      </c>
      <c r="S15" s="547">
        <f t="shared" si="1"/>
        <v>224.96</v>
      </c>
      <c r="T15" s="675">
        <f>T14</f>
        <v>13.242878557698054</v>
      </c>
      <c r="U15" s="676">
        <f t="shared" si="0"/>
        <v>251.61469259626304</v>
      </c>
      <c r="V15" s="555"/>
    </row>
    <row r="16" spans="1:23" ht="14.55" x14ac:dyDescent="0.35">
      <c r="A16" s="544" t="s">
        <v>406</v>
      </c>
      <c r="B16" s="544" t="s">
        <v>92</v>
      </c>
      <c r="C16" s="544" t="s">
        <v>407</v>
      </c>
      <c r="D16" s="544" t="s">
        <v>415</v>
      </c>
      <c r="E16" s="545">
        <v>3.89</v>
      </c>
      <c r="F16" s="546">
        <v>6275.2000000000007</v>
      </c>
      <c r="G16" s="546">
        <v>6523.1</v>
      </c>
      <c r="H16" s="546">
        <v>5764.6</v>
      </c>
      <c r="I16" s="546">
        <v>7736.7000000000007</v>
      </c>
      <c r="J16" s="546">
        <v>6256.7000000000007</v>
      </c>
      <c r="K16" s="546">
        <v>4921</v>
      </c>
      <c r="L16" s="546">
        <v>0</v>
      </c>
      <c r="M16" s="546">
        <v>0</v>
      </c>
      <c r="N16" s="546">
        <v>0</v>
      </c>
      <c r="O16" s="546">
        <v>0</v>
      </c>
      <c r="P16" s="546">
        <v>0</v>
      </c>
      <c r="Q16" s="546">
        <v>0</v>
      </c>
      <c r="R16" s="548">
        <v>10129</v>
      </c>
      <c r="S16" s="547">
        <f t="shared" si="1"/>
        <v>39401.81</v>
      </c>
      <c r="T16" s="675">
        <f>Psycho.Ed!F25</f>
        <v>4.2564858895456172</v>
      </c>
      <c r="U16" s="676">
        <f t="shared" si="0"/>
        <v>43113.945575207559</v>
      </c>
      <c r="V16" s="555"/>
      <c r="W16" s="558"/>
    </row>
    <row r="17" spans="1:22" ht="14.55" x14ac:dyDescent="0.35">
      <c r="A17" s="544" t="s">
        <v>406</v>
      </c>
      <c r="B17" s="544" t="s">
        <v>92</v>
      </c>
      <c r="C17" s="544" t="s">
        <v>407</v>
      </c>
      <c r="D17" s="544" t="s">
        <v>415</v>
      </c>
      <c r="E17" s="545">
        <v>3.89</v>
      </c>
      <c r="F17" s="546">
        <v>0</v>
      </c>
      <c r="G17" s="546">
        <v>0</v>
      </c>
      <c r="H17" s="546">
        <v>0</v>
      </c>
      <c r="I17" s="546">
        <v>0</v>
      </c>
      <c r="J17" s="546">
        <v>0</v>
      </c>
      <c r="K17" s="546">
        <v>0</v>
      </c>
      <c r="L17" s="546">
        <v>7601.0599999999995</v>
      </c>
      <c r="M17" s="546">
        <v>5971.15</v>
      </c>
      <c r="N17" s="546">
        <v>7103.1399999999994</v>
      </c>
      <c r="O17" s="546">
        <v>7663.3</v>
      </c>
      <c r="P17" s="546">
        <v>7601.06</v>
      </c>
      <c r="Q17" s="546">
        <v>5368.2000000000007</v>
      </c>
      <c r="R17" s="548">
        <v>10619</v>
      </c>
      <c r="S17" s="547">
        <f t="shared" si="1"/>
        <v>41307.910000000003</v>
      </c>
      <c r="T17" s="675">
        <f>T16</f>
        <v>4.2564858895456172</v>
      </c>
      <c r="U17" s="676">
        <f t="shared" si="0"/>
        <v>45199.623661084908</v>
      </c>
      <c r="V17" s="555"/>
    </row>
    <row r="18" spans="1:22" ht="14.55" x14ac:dyDescent="0.35">
      <c r="A18" s="544" t="s">
        <v>416</v>
      </c>
      <c r="B18" s="544" t="s">
        <v>69</v>
      </c>
      <c r="C18" s="544" t="s">
        <v>417</v>
      </c>
      <c r="D18" s="544" t="s">
        <v>408</v>
      </c>
      <c r="E18" s="545">
        <v>18.71</v>
      </c>
      <c r="F18" s="546">
        <v>0</v>
      </c>
      <c r="G18" s="546">
        <v>0</v>
      </c>
      <c r="H18" s="546">
        <v>103.5</v>
      </c>
      <c r="I18" s="546">
        <v>0</v>
      </c>
      <c r="J18" s="546">
        <v>0</v>
      </c>
      <c r="K18" s="546">
        <v>0</v>
      </c>
      <c r="L18" s="546">
        <v>0</v>
      </c>
      <c r="M18" s="546">
        <v>0</v>
      </c>
      <c r="N18" s="546">
        <v>0</v>
      </c>
      <c r="O18" s="546">
        <v>0</v>
      </c>
      <c r="P18" s="546">
        <v>0</v>
      </c>
      <c r="Q18" s="546">
        <v>0</v>
      </c>
      <c r="R18" s="548">
        <v>6</v>
      </c>
      <c r="S18" s="547">
        <f t="shared" si="1"/>
        <v>112.26</v>
      </c>
      <c r="T18" s="675">
        <f>T7</f>
        <v>19.599435564957187</v>
      </c>
      <c r="U18" s="676">
        <f t="shared" si="0"/>
        <v>117.59661338974311</v>
      </c>
      <c r="V18" s="555"/>
    </row>
    <row r="19" spans="1:22" ht="14.55" x14ac:dyDescent="0.35">
      <c r="A19" s="544" t="s">
        <v>416</v>
      </c>
      <c r="B19" s="544" t="s">
        <v>69</v>
      </c>
      <c r="C19" s="544" t="s">
        <v>417</v>
      </c>
      <c r="D19" s="544" t="s">
        <v>408</v>
      </c>
      <c r="E19" s="545">
        <v>18.71</v>
      </c>
      <c r="F19" s="546">
        <v>0</v>
      </c>
      <c r="G19" s="546">
        <v>0</v>
      </c>
      <c r="H19" s="546">
        <v>0</v>
      </c>
      <c r="I19" s="546">
        <v>0</v>
      </c>
      <c r="J19" s="546">
        <v>0</v>
      </c>
      <c r="K19" s="546">
        <v>0</v>
      </c>
      <c r="L19" s="546">
        <v>0</v>
      </c>
      <c r="M19" s="546">
        <v>112.26</v>
      </c>
      <c r="N19" s="546">
        <v>112.26</v>
      </c>
      <c r="O19" s="546">
        <v>261.94</v>
      </c>
      <c r="P19" s="546">
        <v>0</v>
      </c>
      <c r="Q19" s="546">
        <v>411.62</v>
      </c>
      <c r="R19" s="548">
        <v>48</v>
      </c>
      <c r="S19" s="547">
        <f t="shared" si="1"/>
        <v>898.08</v>
      </c>
      <c r="T19" s="675">
        <f>T8</f>
        <v>19.599435564957187</v>
      </c>
      <c r="U19" s="676">
        <f t="shared" si="0"/>
        <v>940.7729071179449</v>
      </c>
      <c r="V19" s="555"/>
    </row>
    <row r="20" spans="1:22" ht="14.55" x14ac:dyDescent="0.35">
      <c r="A20" s="544" t="s">
        <v>416</v>
      </c>
      <c r="B20" s="544" t="s">
        <v>418</v>
      </c>
      <c r="C20" s="544" t="s">
        <v>417</v>
      </c>
      <c r="D20" s="544" t="s">
        <v>419</v>
      </c>
      <c r="E20" s="545">
        <v>84.11</v>
      </c>
      <c r="F20" s="546">
        <v>11205.410000000003</v>
      </c>
      <c r="G20" s="546">
        <v>6901.0499999999984</v>
      </c>
      <c r="H20" s="546">
        <v>9389.91</v>
      </c>
      <c r="I20" s="546">
        <v>8640.3799999999992</v>
      </c>
      <c r="J20" s="546">
        <v>5459.25</v>
      </c>
      <c r="K20" s="546">
        <v>4804.1399999999994</v>
      </c>
      <c r="L20" s="546">
        <v>0</v>
      </c>
      <c r="M20" s="546">
        <v>0</v>
      </c>
      <c r="N20" s="546">
        <v>0</v>
      </c>
      <c r="O20" s="546">
        <v>0</v>
      </c>
      <c r="P20" s="546">
        <v>0</v>
      </c>
      <c r="Q20" s="546">
        <v>0</v>
      </c>
      <c r="R20" s="548">
        <v>642</v>
      </c>
      <c r="S20" s="547">
        <f t="shared" si="1"/>
        <v>53998.62</v>
      </c>
      <c r="T20" s="675">
        <f>'Day Treatments'!F24</f>
        <v>89.463896536039968</v>
      </c>
      <c r="U20" s="676">
        <f t="shared" si="0"/>
        <v>57435.821576137656</v>
      </c>
      <c r="V20" s="555"/>
    </row>
    <row r="21" spans="1:22" ht="14.55" x14ac:dyDescent="0.35">
      <c r="A21" s="544" t="s">
        <v>416</v>
      </c>
      <c r="B21" s="544" t="s">
        <v>418</v>
      </c>
      <c r="C21" s="544" t="s">
        <v>417</v>
      </c>
      <c r="D21" s="544" t="s">
        <v>419</v>
      </c>
      <c r="E21" s="545">
        <v>84.11</v>
      </c>
      <c r="F21" s="546">
        <v>0</v>
      </c>
      <c r="G21" s="546">
        <v>0</v>
      </c>
      <c r="H21" s="546">
        <v>0</v>
      </c>
      <c r="I21" s="546">
        <v>0</v>
      </c>
      <c r="J21" s="546">
        <v>0</v>
      </c>
      <c r="K21" s="546">
        <v>0</v>
      </c>
      <c r="L21" s="546">
        <v>9252.0999999999985</v>
      </c>
      <c r="M21" s="546">
        <v>12027.730000000001</v>
      </c>
      <c r="N21" s="546">
        <v>10093.199999999999</v>
      </c>
      <c r="O21" s="546">
        <v>11006.41</v>
      </c>
      <c r="P21" s="546">
        <v>10153.31</v>
      </c>
      <c r="Q21" s="546">
        <v>5887.6999999999989</v>
      </c>
      <c r="R21" s="548">
        <v>695</v>
      </c>
      <c r="S21" s="547">
        <f t="shared" si="1"/>
        <v>58456.45</v>
      </c>
      <c r="T21" s="675">
        <f>T20</f>
        <v>89.463896536039968</v>
      </c>
      <c r="U21" s="676">
        <f t="shared" si="0"/>
        <v>62177.408092547776</v>
      </c>
      <c r="V21" s="555"/>
    </row>
    <row r="22" spans="1:22" ht="14.55" x14ac:dyDescent="0.35">
      <c r="A22" s="544" t="s">
        <v>420</v>
      </c>
      <c r="B22" s="544" t="s">
        <v>421</v>
      </c>
      <c r="C22" s="544" t="s">
        <v>422</v>
      </c>
      <c r="D22" s="544" t="s">
        <v>423</v>
      </c>
      <c r="E22" s="545">
        <v>37.43</v>
      </c>
      <c r="F22" s="546">
        <v>234.57</v>
      </c>
      <c r="G22" s="546">
        <v>483.14</v>
      </c>
      <c r="H22" s="546">
        <v>134.54</v>
      </c>
      <c r="I22" s="546">
        <v>230.57000000000002</v>
      </c>
      <c r="J22" s="546">
        <v>0</v>
      </c>
      <c r="K22" s="546">
        <v>197.06</v>
      </c>
      <c r="L22" s="546">
        <v>0</v>
      </c>
      <c r="M22" s="546">
        <v>0</v>
      </c>
      <c r="N22" s="546">
        <v>0</v>
      </c>
      <c r="O22" s="546">
        <v>0</v>
      </c>
      <c r="P22" s="546">
        <v>0</v>
      </c>
      <c r="Q22" s="546">
        <v>0</v>
      </c>
      <c r="R22" s="548">
        <v>38</v>
      </c>
      <c r="S22" s="547">
        <f t="shared" si="1"/>
        <v>1422.34</v>
      </c>
      <c r="T22" s="675">
        <f>'Outpatient Counseling '!R6</f>
        <v>39.198871129914373</v>
      </c>
      <c r="U22" s="676">
        <f t="shared" si="0"/>
        <v>1489.5571029367461</v>
      </c>
      <c r="V22" s="555"/>
    </row>
    <row r="23" spans="1:22" ht="14.55" x14ac:dyDescent="0.35">
      <c r="A23" s="544" t="s">
        <v>420</v>
      </c>
      <c r="B23" s="544" t="s">
        <v>421</v>
      </c>
      <c r="C23" s="544" t="s">
        <v>422</v>
      </c>
      <c r="D23" s="544" t="s">
        <v>423</v>
      </c>
      <c r="E23" s="545">
        <v>37.43</v>
      </c>
      <c r="F23" s="546">
        <v>0</v>
      </c>
      <c r="G23" s="546">
        <v>0</v>
      </c>
      <c r="H23" s="546">
        <v>0</v>
      </c>
      <c r="I23" s="546">
        <v>0</v>
      </c>
      <c r="J23" s="546">
        <v>0</v>
      </c>
      <c r="K23" s="546">
        <v>0</v>
      </c>
      <c r="L23" s="546">
        <v>187.15</v>
      </c>
      <c r="M23" s="546">
        <v>146.4</v>
      </c>
      <c r="N23" s="546">
        <v>254.81</v>
      </c>
      <c r="O23" s="546">
        <v>262.01</v>
      </c>
      <c r="P23" s="546">
        <v>105.63999999999999</v>
      </c>
      <c r="Q23" s="546">
        <v>0</v>
      </c>
      <c r="R23" s="548">
        <v>26</v>
      </c>
      <c r="S23" s="547">
        <f t="shared" si="1"/>
        <v>973.18</v>
      </c>
      <c r="T23" s="675">
        <f>T22</f>
        <v>39.198871129914373</v>
      </c>
      <c r="U23" s="676">
        <f t="shared" si="0"/>
        <v>1019.1706493777737</v>
      </c>
      <c r="V23" s="555"/>
    </row>
    <row r="24" spans="1:22" ht="14.55" x14ac:dyDescent="0.35">
      <c r="A24" s="544" t="s">
        <v>420</v>
      </c>
      <c r="B24" s="544" t="s">
        <v>69</v>
      </c>
      <c r="C24" s="544" t="s">
        <v>422</v>
      </c>
      <c r="D24" s="544" t="s">
        <v>424</v>
      </c>
      <c r="E24" s="545">
        <v>18.71</v>
      </c>
      <c r="F24" s="546">
        <v>1503.6399999999999</v>
      </c>
      <c r="G24" s="546">
        <v>1138.5</v>
      </c>
      <c r="H24" s="546">
        <v>809</v>
      </c>
      <c r="I24" s="546">
        <v>1352.18</v>
      </c>
      <c r="J24" s="546">
        <v>1025</v>
      </c>
      <c r="K24" s="546">
        <v>630.5</v>
      </c>
      <c r="L24" s="546">
        <v>0</v>
      </c>
      <c r="M24" s="546">
        <v>0</v>
      </c>
      <c r="N24" s="546">
        <v>0</v>
      </c>
      <c r="O24" s="546">
        <v>0</v>
      </c>
      <c r="P24" s="546">
        <v>0</v>
      </c>
      <c r="Q24" s="546">
        <v>0</v>
      </c>
      <c r="R24" s="548">
        <v>382</v>
      </c>
      <c r="S24" s="547">
        <f t="shared" si="1"/>
        <v>7147.22</v>
      </c>
      <c r="T24" s="675">
        <f>T7</f>
        <v>19.599435564957187</v>
      </c>
      <c r="U24" s="676">
        <f t="shared" si="0"/>
        <v>7486.9843858136455</v>
      </c>
      <c r="V24" s="555"/>
    </row>
    <row r="25" spans="1:22" ht="14.55" x14ac:dyDescent="0.35">
      <c r="A25" s="544" t="s">
        <v>420</v>
      </c>
      <c r="B25" s="544" t="s">
        <v>69</v>
      </c>
      <c r="C25" s="544" t="s">
        <v>422</v>
      </c>
      <c r="D25" s="544" t="s">
        <v>424</v>
      </c>
      <c r="E25" s="545">
        <v>18.71</v>
      </c>
      <c r="F25" s="546">
        <v>0</v>
      </c>
      <c r="G25" s="546">
        <v>0</v>
      </c>
      <c r="H25" s="546">
        <v>0</v>
      </c>
      <c r="I25" s="546">
        <v>0</v>
      </c>
      <c r="J25" s="546">
        <v>0</v>
      </c>
      <c r="K25" s="546">
        <v>0</v>
      </c>
      <c r="L25" s="546">
        <v>1309.7</v>
      </c>
      <c r="M25" s="546">
        <v>1047.76</v>
      </c>
      <c r="N25" s="546">
        <v>617.43000000000006</v>
      </c>
      <c r="O25" s="546">
        <v>860.66000000000008</v>
      </c>
      <c r="P25" s="546">
        <v>981.99</v>
      </c>
      <c r="Q25" s="546">
        <v>633.56000000000006</v>
      </c>
      <c r="R25" s="548">
        <v>295</v>
      </c>
      <c r="S25" s="547">
        <f t="shared" si="1"/>
        <v>5519.45</v>
      </c>
      <c r="T25" s="675">
        <f>T24</f>
        <v>19.599435564957187</v>
      </c>
      <c r="U25" s="676">
        <f t="shared" si="0"/>
        <v>5781.8334916623699</v>
      </c>
      <c r="V25" s="555"/>
    </row>
    <row r="26" spans="1:22" ht="14.55" x14ac:dyDescent="0.35">
      <c r="A26" s="544" t="s">
        <v>420</v>
      </c>
      <c r="B26" s="544" t="s">
        <v>72</v>
      </c>
      <c r="C26" s="544" t="s">
        <v>422</v>
      </c>
      <c r="D26" s="544" t="s">
        <v>425</v>
      </c>
      <c r="E26" s="545">
        <v>18.71</v>
      </c>
      <c r="F26" s="546">
        <v>19642.59</v>
      </c>
      <c r="G26" s="546">
        <v>19595.7</v>
      </c>
      <c r="H26" s="546">
        <v>18075.560000000001</v>
      </c>
      <c r="I26" s="546">
        <v>23798.520000000004</v>
      </c>
      <c r="J26" s="546">
        <v>18205.86</v>
      </c>
      <c r="K26" s="546">
        <v>16870.21</v>
      </c>
      <c r="L26" s="546">
        <v>0</v>
      </c>
      <c r="M26" s="546">
        <v>0</v>
      </c>
      <c r="N26" s="546">
        <v>0</v>
      </c>
      <c r="O26" s="546">
        <v>0</v>
      </c>
      <c r="P26" s="546">
        <v>0</v>
      </c>
      <c r="Q26" s="546">
        <v>0</v>
      </c>
      <c r="R26" s="548">
        <v>6876</v>
      </c>
      <c r="S26" s="547">
        <f t="shared" si="1"/>
        <v>128649.96</v>
      </c>
      <c r="T26" s="675">
        <f>T7</f>
        <v>19.599435564957187</v>
      </c>
      <c r="U26" s="676">
        <f t="shared" si="0"/>
        <v>134765.7189446456</v>
      </c>
      <c r="V26" s="555"/>
    </row>
    <row r="27" spans="1:22" ht="14.55" x14ac:dyDescent="0.35">
      <c r="A27" s="544" t="s">
        <v>420</v>
      </c>
      <c r="B27" s="544" t="s">
        <v>72</v>
      </c>
      <c r="C27" s="544" t="s">
        <v>422</v>
      </c>
      <c r="D27" s="544" t="s">
        <v>425</v>
      </c>
      <c r="E27" s="545">
        <v>18.71</v>
      </c>
      <c r="F27" s="546">
        <v>0</v>
      </c>
      <c r="G27" s="546">
        <v>0</v>
      </c>
      <c r="H27" s="546">
        <v>0</v>
      </c>
      <c r="I27" s="546">
        <v>0</v>
      </c>
      <c r="J27" s="546">
        <v>0</v>
      </c>
      <c r="K27" s="546">
        <v>0</v>
      </c>
      <c r="L27" s="546">
        <v>20887.240000000005</v>
      </c>
      <c r="M27" s="546">
        <v>15712.370000000004</v>
      </c>
      <c r="N27" s="546">
        <v>16850.560000000001</v>
      </c>
      <c r="O27" s="546">
        <v>18065.170000000002</v>
      </c>
      <c r="P27" s="546">
        <v>13843.110000000002</v>
      </c>
      <c r="Q27" s="546">
        <v>12232.47</v>
      </c>
      <c r="R27" s="548">
        <v>5299</v>
      </c>
      <c r="S27" s="547">
        <f t="shared" si="1"/>
        <v>99144.290000000008</v>
      </c>
      <c r="T27" s="675">
        <f>T8</f>
        <v>19.599435564957187</v>
      </c>
      <c r="U27" s="676">
        <f t="shared" si="0"/>
        <v>103857.40905870813</v>
      </c>
      <c r="V27" s="555"/>
    </row>
    <row r="28" spans="1:22" ht="14.55" x14ac:dyDescent="0.35">
      <c r="A28" s="544" t="s">
        <v>420</v>
      </c>
      <c r="B28" s="544" t="s">
        <v>59</v>
      </c>
      <c r="C28" s="544" t="s">
        <v>422</v>
      </c>
      <c r="D28" s="544" t="s">
        <v>426</v>
      </c>
      <c r="E28" s="545">
        <v>5.61</v>
      </c>
      <c r="F28" s="546">
        <v>4104.9699999999993</v>
      </c>
      <c r="G28" s="546">
        <v>3439.71</v>
      </c>
      <c r="H28" s="546">
        <v>3187.85</v>
      </c>
      <c r="I28" s="546">
        <v>4096.6899999999996</v>
      </c>
      <c r="J28" s="546">
        <v>3451.94</v>
      </c>
      <c r="K28" s="546">
        <v>2573.9999999999995</v>
      </c>
      <c r="L28" s="546">
        <v>0</v>
      </c>
      <c r="M28" s="546">
        <v>0</v>
      </c>
      <c r="N28" s="546">
        <v>0</v>
      </c>
      <c r="O28" s="546">
        <v>0</v>
      </c>
      <c r="P28" s="546">
        <v>0</v>
      </c>
      <c r="Q28" s="546">
        <v>0</v>
      </c>
      <c r="R28" s="548">
        <v>4747</v>
      </c>
      <c r="S28" s="547">
        <f t="shared" si="1"/>
        <v>26630.670000000002</v>
      </c>
      <c r="T28" s="675">
        <f>'Outpatient Counseling '!R12</f>
        <v>5.8798306694871556</v>
      </c>
      <c r="U28" s="676">
        <f t="shared" si="0"/>
        <v>27911.556188055529</v>
      </c>
      <c r="V28" s="555"/>
    </row>
    <row r="29" spans="1:22" ht="14.55" x14ac:dyDescent="0.35">
      <c r="A29" s="544" t="s">
        <v>420</v>
      </c>
      <c r="B29" s="544" t="s">
        <v>59</v>
      </c>
      <c r="C29" s="544" t="s">
        <v>422</v>
      </c>
      <c r="D29" s="544" t="s">
        <v>426</v>
      </c>
      <c r="E29" s="545">
        <v>5.61</v>
      </c>
      <c r="F29" s="546">
        <v>0</v>
      </c>
      <c r="G29" s="546">
        <v>0</v>
      </c>
      <c r="H29" s="546">
        <v>0</v>
      </c>
      <c r="I29" s="546">
        <v>0</v>
      </c>
      <c r="J29" s="546">
        <v>0</v>
      </c>
      <c r="K29" s="546">
        <v>0</v>
      </c>
      <c r="L29" s="546">
        <v>5121.9000000000005</v>
      </c>
      <c r="M29" s="546">
        <v>3351.7100000000005</v>
      </c>
      <c r="N29" s="546">
        <v>3692.61</v>
      </c>
      <c r="O29" s="546">
        <v>4554.2100000000009</v>
      </c>
      <c r="P29" s="546">
        <v>3007.5499999999993</v>
      </c>
      <c r="Q29" s="546">
        <v>2424.0100000000002</v>
      </c>
      <c r="R29" s="548">
        <v>4105</v>
      </c>
      <c r="S29" s="547">
        <f t="shared" si="1"/>
        <v>23029.050000000003</v>
      </c>
      <c r="T29" s="675">
        <f>T28</f>
        <v>5.8798306694871556</v>
      </c>
      <c r="U29" s="676">
        <f t="shared" si="0"/>
        <v>24136.704898244774</v>
      </c>
      <c r="V29" s="555"/>
    </row>
    <row r="30" spans="1:22" ht="14.55" x14ac:dyDescent="0.35">
      <c r="A30" s="544" t="s">
        <v>420</v>
      </c>
      <c r="B30" s="544" t="s">
        <v>409</v>
      </c>
      <c r="C30" s="544" t="s">
        <v>422</v>
      </c>
      <c r="D30" s="544" t="s">
        <v>410</v>
      </c>
      <c r="E30" s="545">
        <v>14.7</v>
      </c>
      <c r="F30" s="546">
        <v>743.91</v>
      </c>
      <c r="G30" s="546">
        <v>474.48</v>
      </c>
      <c r="H30" s="546">
        <v>659</v>
      </c>
      <c r="I30" s="546">
        <v>1186.2</v>
      </c>
      <c r="J30" s="546">
        <v>1238.92</v>
      </c>
      <c r="K30" s="546">
        <v>698.54</v>
      </c>
      <c r="L30" s="546">
        <v>0</v>
      </c>
      <c r="M30" s="546">
        <v>0</v>
      </c>
      <c r="N30" s="546">
        <v>0</v>
      </c>
      <c r="O30" s="546">
        <v>0</v>
      </c>
      <c r="P30" s="546">
        <v>0</v>
      </c>
      <c r="Q30" s="546">
        <v>0</v>
      </c>
      <c r="R30" s="548">
        <v>380</v>
      </c>
      <c r="S30" s="547">
        <f t="shared" si="1"/>
        <v>5586</v>
      </c>
      <c r="T30" s="675">
        <f>'Case Management'!L24</f>
        <v>16.220952789599341</v>
      </c>
      <c r="U30" s="676">
        <f t="shared" si="0"/>
        <v>6163.9620600477492</v>
      </c>
      <c r="V30" s="555"/>
    </row>
    <row r="31" spans="1:22" ht="14.55" x14ac:dyDescent="0.35">
      <c r="A31" s="544" t="s">
        <v>420</v>
      </c>
      <c r="B31" s="544" t="s">
        <v>409</v>
      </c>
      <c r="C31" s="544" t="s">
        <v>422</v>
      </c>
      <c r="D31" s="544" t="s">
        <v>410</v>
      </c>
      <c r="E31" s="545">
        <v>14.7</v>
      </c>
      <c r="F31" s="546">
        <v>0</v>
      </c>
      <c r="G31" s="546">
        <v>0</v>
      </c>
      <c r="H31" s="546">
        <v>0</v>
      </c>
      <c r="I31" s="546">
        <v>0</v>
      </c>
      <c r="J31" s="546">
        <v>0</v>
      </c>
      <c r="K31" s="546">
        <v>0</v>
      </c>
      <c r="L31" s="546">
        <v>926.1</v>
      </c>
      <c r="M31" s="546">
        <v>689.26</v>
      </c>
      <c r="N31" s="546">
        <v>1271.6999999999998</v>
      </c>
      <c r="O31" s="546">
        <v>1146.5999999999999</v>
      </c>
      <c r="P31" s="546">
        <v>1861</v>
      </c>
      <c r="Q31" s="546">
        <v>1346.5</v>
      </c>
      <c r="R31" s="548">
        <v>500</v>
      </c>
      <c r="S31" s="547">
        <f t="shared" si="1"/>
        <v>7350</v>
      </c>
      <c r="T31" s="675">
        <f>T30</f>
        <v>16.220952789599341</v>
      </c>
      <c r="U31" s="676">
        <f t="shared" si="0"/>
        <v>8110.4763947996707</v>
      </c>
      <c r="V31" s="555"/>
    </row>
    <row r="32" spans="1:22" ht="14.55" x14ac:dyDescent="0.35">
      <c r="A32" s="544" t="s">
        <v>420</v>
      </c>
      <c r="B32" s="544" t="s">
        <v>411</v>
      </c>
      <c r="C32" s="544" t="s">
        <v>422</v>
      </c>
      <c r="D32" s="544" t="s">
        <v>412</v>
      </c>
      <c r="E32" s="545">
        <v>20.93</v>
      </c>
      <c r="F32" s="546">
        <v>2221.42</v>
      </c>
      <c r="G32" s="546">
        <v>2302.94</v>
      </c>
      <c r="H32" s="546">
        <v>2042.61</v>
      </c>
      <c r="I32" s="546">
        <v>1915.7199999999998</v>
      </c>
      <c r="J32" s="546">
        <v>3729.54</v>
      </c>
      <c r="K32" s="546">
        <v>1039.3800000000001</v>
      </c>
      <c r="L32" s="546">
        <v>0</v>
      </c>
      <c r="M32" s="546">
        <v>0</v>
      </c>
      <c r="N32" s="546">
        <v>0</v>
      </c>
      <c r="O32" s="546">
        <v>0</v>
      </c>
      <c r="P32" s="546">
        <v>0</v>
      </c>
      <c r="Q32" s="546">
        <v>0</v>
      </c>
      <c r="R32" s="548">
        <v>651</v>
      </c>
      <c r="S32" s="547">
        <f t="shared" si="1"/>
        <v>13625.43</v>
      </c>
      <c r="T32" s="675">
        <f>'Case Management'!F24</f>
        <v>20.14226865397033</v>
      </c>
      <c r="U32" s="676">
        <f t="shared" si="0"/>
        <v>13112.616893734685</v>
      </c>
      <c r="V32" s="555"/>
    </row>
    <row r="33" spans="1:22" ht="14.55" x14ac:dyDescent="0.35">
      <c r="A33" s="544" t="s">
        <v>420</v>
      </c>
      <c r="B33" s="544" t="s">
        <v>411</v>
      </c>
      <c r="C33" s="544" t="s">
        <v>422</v>
      </c>
      <c r="D33" s="544" t="s">
        <v>412</v>
      </c>
      <c r="E33" s="545">
        <v>20.93</v>
      </c>
      <c r="F33" s="546">
        <v>0</v>
      </c>
      <c r="G33" s="546">
        <v>0</v>
      </c>
      <c r="H33" s="546">
        <v>0</v>
      </c>
      <c r="I33" s="546">
        <v>0</v>
      </c>
      <c r="J33" s="546">
        <v>0</v>
      </c>
      <c r="K33" s="546">
        <v>0</v>
      </c>
      <c r="L33" s="546">
        <v>1381.38</v>
      </c>
      <c r="M33" s="546">
        <v>1465.1</v>
      </c>
      <c r="N33" s="546">
        <v>1444.17</v>
      </c>
      <c r="O33" s="546">
        <v>1193.01</v>
      </c>
      <c r="P33" s="546">
        <v>858.13</v>
      </c>
      <c r="Q33" s="546">
        <v>83.72</v>
      </c>
      <c r="R33" s="548">
        <v>307</v>
      </c>
      <c r="S33" s="547">
        <f t="shared" si="1"/>
        <v>6425.51</v>
      </c>
      <c r="T33" s="675">
        <f>T32</f>
        <v>20.14226865397033</v>
      </c>
      <c r="U33" s="676">
        <f t="shared" si="0"/>
        <v>6183.676476768891</v>
      </c>
      <c r="V33" s="555"/>
    </row>
    <row r="34" spans="1:22" ht="14.55" x14ac:dyDescent="0.35">
      <c r="A34" s="544" t="s">
        <v>420</v>
      </c>
      <c r="B34" s="544" t="s">
        <v>92</v>
      </c>
      <c r="C34" s="544" t="s">
        <v>422</v>
      </c>
      <c r="D34" s="544" t="s">
        <v>415</v>
      </c>
      <c r="E34" s="545">
        <v>3.89</v>
      </c>
      <c r="F34" s="546">
        <v>1864.8</v>
      </c>
      <c r="G34" s="546">
        <v>1783.3999999999999</v>
      </c>
      <c r="H34" s="546">
        <v>1687.2</v>
      </c>
      <c r="I34" s="546">
        <v>1694.6</v>
      </c>
      <c r="J34" s="546">
        <v>1110</v>
      </c>
      <c r="K34" s="546">
        <v>1450.4</v>
      </c>
      <c r="L34" s="546">
        <v>0</v>
      </c>
      <c r="M34" s="546">
        <v>0</v>
      </c>
      <c r="N34" s="546">
        <v>0</v>
      </c>
      <c r="O34" s="546">
        <v>0</v>
      </c>
      <c r="P34" s="546">
        <v>0</v>
      </c>
      <c r="Q34" s="546">
        <v>0</v>
      </c>
      <c r="R34" s="548">
        <v>2592</v>
      </c>
      <c r="S34" s="547">
        <f t="shared" si="1"/>
        <v>10082.880000000001</v>
      </c>
      <c r="T34" s="675">
        <f>Psycho.Ed!F25</f>
        <v>4.2564858895456172</v>
      </c>
      <c r="U34" s="676">
        <f t="shared" si="0"/>
        <v>11032.811425702241</v>
      </c>
      <c r="V34" s="555"/>
    </row>
    <row r="35" spans="1:22" ht="14.55" x14ac:dyDescent="0.35">
      <c r="A35" s="544" t="s">
        <v>420</v>
      </c>
      <c r="B35" s="544" t="s">
        <v>92</v>
      </c>
      <c r="C35" s="544" t="s">
        <v>422</v>
      </c>
      <c r="D35" s="544" t="s">
        <v>415</v>
      </c>
      <c r="E35" s="545">
        <v>3.89</v>
      </c>
      <c r="F35" s="546">
        <v>0</v>
      </c>
      <c r="G35" s="546">
        <v>0</v>
      </c>
      <c r="H35" s="546">
        <v>0</v>
      </c>
      <c r="I35" s="546">
        <v>0</v>
      </c>
      <c r="J35" s="546">
        <v>0</v>
      </c>
      <c r="K35" s="546">
        <v>0</v>
      </c>
      <c r="L35" s="546">
        <v>1050.3</v>
      </c>
      <c r="M35" s="546">
        <v>1664.92</v>
      </c>
      <c r="N35" s="546">
        <v>1696.04</v>
      </c>
      <c r="O35" s="546">
        <v>2723</v>
      </c>
      <c r="P35" s="546">
        <v>2863.04</v>
      </c>
      <c r="Q35" s="546">
        <v>2785.24</v>
      </c>
      <c r="R35" s="548">
        <v>3286</v>
      </c>
      <c r="S35" s="547">
        <f t="shared" si="1"/>
        <v>12782.54</v>
      </c>
      <c r="T35" s="675">
        <f>T34</f>
        <v>4.2564858895456172</v>
      </c>
      <c r="U35" s="676">
        <f t="shared" si="0"/>
        <v>13986.812633046899</v>
      </c>
      <c r="V35" s="555"/>
    </row>
    <row r="36" spans="1:22" ht="14.55" x14ac:dyDescent="0.35">
      <c r="A36" s="544" t="s">
        <v>420</v>
      </c>
      <c r="B36" s="544" t="s">
        <v>427</v>
      </c>
      <c r="C36" s="544" t="s">
        <v>422</v>
      </c>
      <c r="D36" s="544" t="s">
        <v>428</v>
      </c>
      <c r="E36" s="545">
        <v>19.260000000000002</v>
      </c>
      <c r="F36" s="546">
        <v>18.649999999999999</v>
      </c>
      <c r="G36" s="546">
        <v>18.649999999999999</v>
      </c>
      <c r="H36" s="546">
        <v>0</v>
      </c>
      <c r="I36" s="546">
        <v>0</v>
      </c>
      <c r="J36" s="546">
        <v>0</v>
      </c>
      <c r="K36" s="546">
        <v>18.649999999999999</v>
      </c>
      <c r="L36" s="546">
        <v>0</v>
      </c>
      <c r="M36" s="546">
        <v>0</v>
      </c>
      <c r="N36" s="546">
        <v>0</v>
      </c>
      <c r="O36" s="546">
        <v>0</v>
      </c>
      <c r="P36" s="546">
        <v>0</v>
      </c>
      <c r="Q36" s="546">
        <v>0</v>
      </c>
      <c r="R36" s="548">
        <v>3</v>
      </c>
      <c r="S36" s="547">
        <f t="shared" si="1"/>
        <v>57.78</v>
      </c>
      <c r="T36" s="675">
        <f>Family.Couple!H24</f>
        <v>0</v>
      </c>
      <c r="U36" s="676">
        <f t="shared" si="0"/>
        <v>0</v>
      </c>
      <c r="V36" s="555"/>
    </row>
    <row r="37" spans="1:22" ht="14.55" x14ac:dyDescent="0.35">
      <c r="A37" s="544" t="s">
        <v>429</v>
      </c>
      <c r="B37" s="544" t="s">
        <v>409</v>
      </c>
      <c r="C37" s="544" t="s">
        <v>430</v>
      </c>
      <c r="D37" s="544" t="s">
        <v>410</v>
      </c>
      <c r="E37" s="545">
        <v>14.7</v>
      </c>
      <c r="F37" s="546">
        <v>7855.2800000000007</v>
      </c>
      <c r="G37" s="546">
        <v>4402.12</v>
      </c>
      <c r="H37" s="546">
        <v>3479.5199999999995</v>
      </c>
      <c r="I37" s="546">
        <v>3255.46</v>
      </c>
      <c r="J37" s="546">
        <v>6273.6799999999994</v>
      </c>
      <c r="K37" s="546">
        <v>7314.9</v>
      </c>
      <c r="L37" s="546">
        <v>0</v>
      </c>
      <c r="M37" s="546">
        <v>0</v>
      </c>
      <c r="N37" s="546">
        <v>0</v>
      </c>
      <c r="O37" s="546">
        <v>0</v>
      </c>
      <c r="P37" s="546">
        <v>0</v>
      </c>
      <c r="Q37" s="546">
        <v>0</v>
      </c>
      <c r="R37" s="548">
        <v>2472</v>
      </c>
      <c r="S37" s="547">
        <f t="shared" si="1"/>
        <v>36338.400000000001</v>
      </c>
      <c r="T37" s="675">
        <f>T30</f>
        <v>16.220952789599341</v>
      </c>
      <c r="U37" s="676">
        <f t="shared" si="0"/>
        <v>40098.195295889571</v>
      </c>
      <c r="V37" s="555"/>
    </row>
    <row r="38" spans="1:22" ht="14.55" x14ac:dyDescent="0.35">
      <c r="A38" s="544" t="s">
        <v>429</v>
      </c>
      <c r="B38" s="544" t="s">
        <v>409</v>
      </c>
      <c r="C38" s="544" t="s">
        <v>430</v>
      </c>
      <c r="D38" s="544" t="s">
        <v>410</v>
      </c>
      <c r="E38" s="545">
        <v>14.7</v>
      </c>
      <c r="F38" s="546">
        <v>0</v>
      </c>
      <c r="G38" s="546">
        <v>0</v>
      </c>
      <c r="H38" s="546">
        <v>0</v>
      </c>
      <c r="I38" s="546">
        <v>0</v>
      </c>
      <c r="J38" s="546">
        <v>0</v>
      </c>
      <c r="K38" s="546">
        <v>0</v>
      </c>
      <c r="L38" s="546">
        <v>8731.7999999999993</v>
      </c>
      <c r="M38" s="546">
        <v>5571.2999999999993</v>
      </c>
      <c r="N38" s="546">
        <v>5218.5</v>
      </c>
      <c r="O38" s="546">
        <v>5541.9</v>
      </c>
      <c r="P38" s="546">
        <v>7864.5</v>
      </c>
      <c r="Q38" s="546">
        <v>5365.5</v>
      </c>
      <c r="R38" s="548">
        <v>2605</v>
      </c>
      <c r="S38" s="547">
        <f t="shared" si="1"/>
        <v>38293.5</v>
      </c>
      <c r="T38" s="675">
        <f>T37</f>
        <v>16.220952789599341</v>
      </c>
      <c r="U38" s="676">
        <f t="shared" si="0"/>
        <v>42255.582016906286</v>
      </c>
      <c r="V38" s="555"/>
    </row>
    <row r="39" spans="1:22" ht="14.55" x14ac:dyDescent="0.35">
      <c r="A39" s="544" t="s">
        <v>431</v>
      </c>
      <c r="B39" s="544" t="s">
        <v>59</v>
      </c>
      <c r="C39" s="544" t="s">
        <v>432</v>
      </c>
      <c r="D39" s="544" t="s">
        <v>426</v>
      </c>
      <c r="E39" s="545">
        <v>5.61</v>
      </c>
      <c r="F39" s="546">
        <v>1767.36</v>
      </c>
      <c r="G39" s="546">
        <v>1178.24</v>
      </c>
      <c r="H39" s="546">
        <v>1086.19</v>
      </c>
      <c r="I39" s="546">
        <v>883.68</v>
      </c>
      <c r="J39" s="546">
        <v>1012.55</v>
      </c>
      <c r="K39" s="546">
        <v>533.89</v>
      </c>
      <c r="L39" s="546">
        <v>0</v>
      </c>
      <c r="M39" s="546">
        <v>0</v>
      </c>
      <c r="N39" s="546">
        <v>0</v>
      </c>
      <c r="O39" s="546">
        <v>0</v>
      </c>
      <c r="P39" s="546">
        <v>0</v>
      </c>
      <c r="Q39" s="546">
        <v>0</v>
      </c>
      <c r="R39" s="548">
        <v>1404</v>
      </c>
      <c r="S39" s="547">
        <f t="shared" si="1"/>
        <v>7876.4400000000005</v>
      </c>
      <c r="T39" s="675">
        <f>T29</f>
        <v>5.8798306694871556</v>
      </c>
      <c r="U39" s="676">
        <f t="shared" ref="U39:U70" si="2">T39*R39</f>
        <v>8255.2822599599658</v>
      </c>
      <c r="V39" s="555"/>
    </row>
    <row r="40" spans="1:22" ht="14.55" x14ac:dyDescent="0.35">
      <c r="A40" s="544" t="s">
        <v>431</v>
      </c>
      <c r="B40" s="544" t="s">
        <v>59</v>
      </c>
      <c r="C40" s="544" t="s">
        <v>432</v>
      </c>
      <c r="D40" s="544" t="s">
        <v>426</v>
      </c>
      <c r="E40" s="545">
        <v>5.61</v>
      </c>
      <c r="F40" s="546">
        <v>0</v>
      </c>
      <c r="G40" s="546">
        <v>0</v>
      </c>
      <c r="H40" s="546">
        <v>0</v>
      </c>
      <c r="I40" s="546">
        <v>0</v>
      </c>
      <c r="J40" s="546">
        <v>0</v>
      </c>
      <c r="K40" s="546">
        <v>0</v>
      </c>
      <c r="L40" s="546">
        <v>1615.68</v>
      </c>
      <c r="M40" s="546">
        <v>1907.4</v>
      </c>
      <c r="N40" s="546">
        <v>1099.56</v>
      </c>
      <c r="O40" s="546">
        <v>830.28</v>
      </c>
      <c r="P40" s="546">
        <v>1795.2</v>
      </c>
      <c r="Q40" s="546">
        <v>1211.76</v>
      </c>
      <c r="R40" s="548">
        <v>1508</v>
      </c>
      <c r="S40" s="547">
        <f t="shared" si="1"/>
        <v>8459.880000000001</v>
      </c>
      <c r="T40" s="675">
        <f>T39</f>
        <v>5.8798306694871556</v>
      </c>
      <c r="U40" s="676">
        <f t="shared" si="2"/>
        <v>8866.7846495866306</v>
      </c>
      <c r="V40" s="555"/>
    </row>
    <row r="41" spans="1:22" ht="14.55" x14ac:dyDescent="0.35">
      <c r="A41" s="544" t="s">
        <v>433</v>
      </c>
      <c r="B41" s="544" t="s">
        <v>69</v>
      </c>
      <c r="C41" s="544" t="s">
        <v>434</v>
      </c>
      <c r="D41" s="544" t="s">
        <v>424</v>
      </c>
      <c r="E41" s="545">
        <v>18.71</v>
      </c>
      <c r="F41" s="546">
        <v>1138.5</v>
      </c>
      <c r="G41" s="546">
        <v>828</v>
      </c>
      <c r="H41" s="546">
        <v>966</v>
      </c>
      <c r="I41" s="546">
        <v>931.5</v>
      </c>
      <c r="J41" s="546">
        <v>1069.5</v>
      </c>
      <c r="K41" s="546">
        <v>810.75</v>
      </c>
      <c r="L41" s="546">
        <v>0</v>
      </c>
      <c r="M41" s="546">
        <v>0</v>
      </c>
      <c r="N41" s="546">
        <v>0</v>
      </c>
      <c r="O41" s="546">
        <v>0</v>
      </c>
      <c r="P41" s="546">
        <v>0</v>
      </c>
      <c r="Q41" s="546">
        <v>0</v>
      </c>
      <c r="R41" s="548">
        <v>333</v>
      </c>
      <c r="S41" s="547">
        <f t="shared" si="1"/>
        <v>6230.43</v>
      </c>
      <c r="T41" s="675">
        <f>T26</f>
        <v>19.599435564957187</v>
      </c>
      <c r="U41" s="676">
        <f t="shared" si="2"/>
        <v>6526.6120431307427</v>
      </c>
      <c r="V41" s="555"/>
    </row>
    <row r="42" spans="1:22" ht="14.55" x14ac:dyDescent="0.35">
      <c r="A42" s="544" t="s">
        <v>433</v>
      </c>
      <c r="B42" s="544" t="s">
        <v>69</v>
      </c>
      <c r="C42" s="544" t="s">
        <v>434</v>
      </c>
      <c r="D42" s="544" t="s">
        <v>424</v>
      </c>
      <c r="E42" s="545">
        <v>18.71</v>
      </c>
      <c r="F42" s="546">
        <v>0</v>
      </c>
      <c r="G42" s="546">
        <v>0</v>
      </c>
      <c r="H42" s="546">
        <v>0</v>
      </c>
      <c r="I42" s="546">
        <v>0</v>
      </c>
      <c r="J42" s="546">
        <v>0</v>
      </c>
      <c r="K42" s="546">
        <v>0</v>
      </c>
      <c r="L42" s="546">
        <v>1983.26</v>
      </c>
      <c r="M42" s="546">
        <v>1122.5999999999999</v>
      </c>
      <c r="N42" s="546">
        <v>1721.32</v>
      </c>
      <c r="O42" s="546">
        <v>1609.06</v>
      </c>
      <c r="P42" s="546">
        <v>1496.8</v>
      </c>
      <c r="Q42" s="546">
        <v>1721.3200000000002</v>
      </c>
      <c r="R42" s="548">
        <v>516</v>
      </c>
      <c r="S42" s="547">
        <f t="shared" si="1"/>
        <v>9654.36</v>
      </c>
      <c r="T42" s="675">
        <f>T41</f>
        <v>19.599435564957187</v>
      </c>
      <c r="U42" s="676">
        <f t="shared" si="2"/>
        <v>10113.308751517909</v>
      </c>
      <c r="V42" s="555"/>
    </row>
    <row r="43" spans="1:22" ht="14.55" x14ac:dyDescent="0.35">
      <c r="A43" s="544" t="s">
        <v>433</v>
      </c>
      <c r="B43" s="544" t="s">
        <v>409</v>
      </c>
      <c r="C43" s="544" t="s">
        <v>434</v>
      </c>
      <c r="D43" s="544" t="s">
        <v>410</v>
      </c>
      <c r="E43" s="545">
        <v>14.7</v>
      </c>
      <c r="F43" s="546">
        <v>18596.98</v>
      </c>
      <c r="G43" s="546">
        <v>21786.54</v>
      </c>
      <c r="H43" s="546">
        <v>18689.240000000002</v>
      </c>
      <c r="I43" s="546">
        <v>20863.940000000002</v>
      </c>
      <c r="J43" s="546">
        <v>22168.76</v>
      </c>
      <c r="K43" s="546">
        <v>18847.399999999998</v>
      </c>
      <c r="L43" s="546">
        <v>0</v>
      </c>
      <c r="M43" s="546">
        <v>0</v>
      </c>
      <c r="N43" s="546">
        <v>0</v>
      </c>
      <c r="O43" s="546">
        <v>0</v>
      </c>
      <c r="P43" s="546">
        <v>0</v>
      </c>
      <c r="Q43" s="546">
        <v>0</v>
      </c>
      <c r="R43" s="548">
        <v>9177</v>
      </c>
      <c r="S43" s="547">
        <f t="shared" si="1"/>
        <v>134901.9</v>
      </c>
      <c r="T43" s="675">
        <f>T30</f>
        <v>16.220952789599341</v>
      </c>
      <c r="U43" s="676">
        <f t="shared" si="2"/>
        <v>148859.68375015314</v>
      </c>
      <c r="V43" s="555"/>
    </row>
    <row r="44" spans="1:22" ht="14.55" x14ac:dyDescent="0.35">
      <c r="A44" s="544" t="s">
        <v>433</v>
      </c>
      <c r="B44" s="544" t="s">
        <v>409</v>
      </c>
      <c r="C44" s="544" t="s">
        <v>434</v>
      </c>
      <c r="D44" s="544" t="s">
        <v>410</v>
      </c>
      <c r="E44" s="545">
        <v>14.7</v>
      </c>
      <c r="F44" s="546">
        <v>0</v>
      </c>
      <c r="G44" s="546">
        <v>0</v>
      </c>
      <c r="H44" s="546">
        <v>0</v>
      </c>
      <c r="I44" s="546">
        <v>0</v>
      </c>
      <c r="J44" s="546">
        <v>0</v>
      </c>
      <c r="K44" s="546">
        <v>0</v>
      </c>
      <c r="L44" s="546">
        <v>23475.9</v>
      </c>
      <c r="M44" s="546">
        <v>21726.6</v>
      </c>
      <c r="N44" s="546">
        <v>23799.3</v>
      </c>
      <c r="O44" s="546">
        <v>23916.9</v>
      </c>
      <c r="P44" s="546">
        <v>22270.5</v>
      </c>
      <c r="Q44" s="546">
        <v>25225.200000000001</v>
      </c>
      <c r="R44" s="548">
        <v>9552</v>
      </c>
      <c r="S44" s="547">
        <f t="shared" si="1"/>
        <v>140414.39999999999</v>
      </c>
      <c r="T44" s="675">
        <f>T43</f>
        <v>16.220952789599341</v>
      </c>
      <c r="U44" s="676">
        <f t="shared" si="2"/>
        <v>154942.54104625291</v>
      </c>
      <c r="V44" s="555"/>
    </row>
    <row r="45" spans="1:22" ht="14.55" x14ac:dyDescent="0.35">
      <c r="A45" s="544" t="s">
        <v>433</v>
      </c>
      <c r="B45" s="544" t="s">
        <v>411</v>
      </c>
      <c r="C45" s="544" t="s">
        <v>434</v>
      </c>
      <c r="D45" s="544" t="s">
        <v>412</v>
      </c>
      <c r="E45" s="545">
        <v>20.93</v>
      </c>
      <c r="F45" s="546">
        <v>7071.8600000000006</v>
      </c>
      <c r="G45" s="546">
        <v>6073.24</v>
      </c>
      <c r="H45" s="546">
        <v>4789.3</v>
      </c>
      <c r="I45" s="546">
        <v>5380.32</v>
      </c>
      <c r="J45" s="546">
        <v>5278.42</v>
      </c>
      <c r="K45" s="546">
        <v>5604.5</v>
      </c>
      <c r="L45" s="546">
        <v>0</v>
      </c>
      <c r="M45" s="546">
        <v>0</v>
      </c>
      <c r="N45" s="546">
        <v>0</v>
      </c>
      <c r="O45" s="546">
        <v>0</v>
      </c>
      <c r="P45" s="546">
        <v>0</v>
      </c>
      <c r="Q45" s="546">
        <v>0</v>
      </c>
      <c r="R45" s="548">
        <v>1678</v>
      </c>
      <c r="S45" s="547">
        <f t="shared" si="1"/>
        <v>35120.54</v>
      </c>
      <c r="T45" s="675">
        <f>T33</f>
        <v>20.14226865397033</v>
      </c>
      <c r="U45" s="676">
        <f t="shared" si="2"/>
        <v>33798.726801362216</v>
      </c>
      <c r="V45" s="555"/>
    </row>
    <row r="46" spans="1:22" ht="14.55" x14ac:dyDescent="0.35">
      <c r="A46" s="544" t="s">
        <v>433</v>
      </c>
      <c r="B46" s="544" t="s">
        <v>411</v>
      </c>
      <c r="C46" s="544" t="s">
        <v>434</v>
      </c>
      <c r="D46" s="544" t="s">
        <v>412</v>
      </c>
      <c r="E46" s="545">
        <v>20.93</v>
      </c>
      <c r="F46" s="546">
        <v>0</v>
      </c>
      <c r="G46" s="546">
        <v>0</v>
      </c>
      <c r="H46" s="546">
        <v>0</v>
      </c>
      <c r="I46" s="546">
        <v>0</v>
      </c>
      <c r="J46" s="546">
        <v>0</v>
      </c>
      <c r="K46" s="546">
        <v>0</v>
      </c>
      <c r="L46" s="546">
        <v>6132.49</v>
      </c>
      <c r="M46" s="546">
        <v>4688.32</v>
      </c>
      <c r="N46" s="546">
        <v>6509.2300000000005</v>
      </c>
      <c r="O46" s="546">
        <v>7325.5</v>
      </c>
      <c r="P46" s="546">
        <v>8246.42</v>
      </c>
      <c r="Q46" s="546">
        <v>8832.4599999999991</v>
      </c>
      <c r="R46" s="548">
        <v>1994</v>
      </c>
      <c r="S46" s="547">
        <f t="shared" si="1"/>
        <v>41734.42</v>
      </c>
      <c r="T46" s="675">
        <f>T45</f>
        <v>20.14226865397033</v>
      </c>
      <c r="U46" s="676">
        <f t="shared" si="2"/>
        <v>40163.683696016837</v>
      </c>
      <c r="V46" s="555"/>
    </row>
    <row r="47" spans="1:22" ht="14.55" x14ac:dyDescent="0.35">
      <c r="A47" s="544" t="s">
        <v>433</v>
      </c>
      <c r="B47" s="544" t="s">
        <v>413</v>
      </c>
      <c r="C47" s="544" t="s">
        <v>434</v>
      </c>
      <c r="D47" s="544" t="s">
        <v>318</v>
      </c>
      <c r="E47" s="545">
        <v>14.57</v>
      </c>
      <c r="F47" s="546">
        <v>0</v>
      </c>
      <c r="G47" s="546">
        <v>0</v>
      </c>
      <c r="H47" s="546">
        <v>0</v>
      </c>
      <c r="I47" s="546">
        <v>349.25</v>
      </c>
      <c r="J47" s="546">
        <v>223.52</v>
      </c>
      <c r="K47" s="546">
        <v>447.04</v>
      </c>
      <c r="L47" s="546">
        <v>0</v>
      </c>
      <c r="M47" s="546">
        <v>0</v>
      </c>
      <c r="N47" s="546">
        <v>0</v>
      </c>
      <c r="O47" s="546">
        <v>0</v>
      </c>
      <c r="P47" s="546">
        <v>0</v>
      </c>
      <c r="Q47" s="546">
        <v>0</v>
      </c>
      <c r="R47" s="548">
        <v>73</v>
      </c>
      <c r="S47" s="547">
        <f t="shared" si="1"/>
        <v>1063.6100000000001</v>
      </c>
      <c r="T47" s="675">
        <f>T30</f>
        <v>16.220952789599341</v>
      </c>
      <c r="U47" s="676">
        <f t="shared" si="2"/>
        <v>1184.129553640752</v>
      </c>
      <c r="V47" s="555"/>
    </row>
    <row r="48" spans="1:22" ht="14.55" x14ac:dyDescent="0.35">
      <c r="A48" s="544" t="s">
        <v>433</v>
      </c>
      <c r="B48" s="544" t="s">
        <v>413</v>
      </c>
      <c r="C48" s="544" t="s">
        <v>434</v>
      </c>
      <c r="D48" s="544" t="s">
        <v>318</v>
      </c>
      <c r="E48" s="545">
        <v>14.57</v>
      </c>
      <c r="F48" s="546">
        <v>0</v>
      </c>
      <c r="G48" s="546">
        <v>0</v>
      </c>
      <c r="H48" s="546">
        <v>0</v>
      </c>
      <c r="I48" s="546">
        <v>0</v>
      </c>
      <c r="J48" s="546">
        <v>0</v>
      </c>
      <c r="K48" s="546">
        <v>0</v>
      </c>
      <c r="L48" s="546">
        <v>8669.15</v>
      </c>
      <c r="M48" s="546">
        <v>8465.17</v>
      </c>
      <c r="N48" s="546">
        <v>7124.73</v>
      </c>
      <c r="O48" s="546">
        <v>1325.87</v>
      </c>
      <c r="P48" s="546">
        <v>2214.6400000000003</v>
      </c>
      <c r="Q48" s="546">
        <v>1675.55</v>
      </c>
      <c r="R48" s="548">
        <v>2023</v>
      </c>
      <c r="S48" s="547">
        <f t="shared" si="1"/>
        <v>29475.11</v>
      </c>
      <c r="T48" s="675">
        <f>T47</f>
        <v>16.220952789599341</v>
      </c>
      <c r="U48" s="676">
        <f t="shared" si="2"/>
        <v>32814.987493359469</v>
      </c>
      <c r="V48" s="555"/>
    </row>
    <row r="49" spans="1:22" ht="14.55" x14ac:dyDescent="0.35">
      <c r="A49" s="544" t="s">
        <v>435</v>
      </c>
      <c r="B49" s="544" t="s">
        <v>69</v>
      </c>
      <c r="C49" s="544" t="s">
        <v>436</v>
      </c>
      <c r="D49" s="544" t="s">
        <v>424</v>
      </c>
      <c r="E49" s="545">
        <v>18.71</v>
      </c>
      <c r="F49" s="546">
        <v>0</v>
      </c>
      <c r="G49" s="546">
        <v>0</v>
      </c>
      <c r="H49" s="546">
        <v>69</v>
      </c>
      <c r="I49" s="546">
        <v>69</v>
      </c>
      <c r="J49" s="546">
        <v>103.5</v>
      </c>
      <c r="K49" s="546">
        <v>0</v>
      </c>
      <c r="L49" s="546">
        <v>0</v>
      </c>
      <c r="M49" s="546">
        <v>0</v>
      </c>
      <c r="N49" s="546">
        <v>0</v>
      </c>
      <c r="O49" s="546">
        <v>0</v>
      </c>
      <c r="P49" s="546">
        <v>0</v>
      </c>
      <c r="Q49" s="546">
        <v>0</v>
      </c>
      <c r="R49" s="548">
        <v>14</v>
      </c>
      <c r="S49" s="547">
        <f t="shared" si="1"/>
        <v>261.94</v>
      </c>
      <c r="T49" s="675">
        <f>T41</f>
        <v>19.599435564957187</v>
      </c>
      <c r="U49" s="676">
        <f t="shared" si="2"/>
        <v>274.3920979094006</v>
      </c>
      <c r="V49" s="555"/>
    </row>
    <row r="50" spans="1:22" ht="14.55" x14ac:dyDescent="0.35">
      <c r="A50" s="544" t="s">
        <v>435</v>
      </c>
      <c r="B50" s="544" t="s">
        <v>69</v>
      </c>
      <c r="C50" s="544" t="s">
        <v>436</v>
      </c>
      <c r="D50" s="544" t="s">
        <v>424</v>
      </c>
      <c r="E50" s="545">
        <v>18.71</v>
      </c>
      <c r="F50" s="546">
        <v>0</v>
      </c>
      <c r="G50" s="546">
        <v>0</v>
      </c>
      <c r="H50" s="546">
        <v>0</v>
      </c>
      <c r="I50" s="546">
        <v>0</v>
      </c>
      <c r="J50" s="546">
        <v>0</v>
      </c>
      <c r="K50" s="546">
        <v>0</v>
      </c>
      <c r="L50" s="546">
        <v>74.84</v>
      </c>
      <c r="M50" s="546">
        <v>0</v>
      </c>
      <c r="N50" s="546">
        <v>0</v>
      </c>
      <c r="O50" s="546">
        <v>0</v>
      </c>
      <c r="P50" s="546">
        <v>93.55</v>
      </c>
      <c r="Q50" s="546">
        <v>0</v>
      </c>
      <c r="R50" s="548">
        <v>9</v>
      </c>
      <c r="S50" s="547">
        <f t="shared" si="1"/>
        <v>168.39000000000001</v>
      </c>
      <c r="T50" s="675">
        <f>T49</f>
        <v>19.599435564957187</v>
      </c>
      <c r="U50" s="676">
        <f t="shared" si="2"/>
        <v>176.39492008461468</v>
      </c>
      <c r="V50" s="555"/>
    </row>
    <row r="51" spans="1:22" ht="14.55" x14ac:dyDescent="0.35">
      <c r="A51" s="544" t="s">
        <v>435</v>
      </c>
      <c r="B51" s="544" t="s">
        <v>437</v>
      </c>
      <c r="C51" s="544" t="s">
        <v>436</v>
      </c>
      <c r="D51" s="544" t="s">
        <v>425</v>
      </c>
      <c r="E51" s="545">
        <v>18.71</v>
      </c>
      <c r="F51" s="546">
        <v>1864.25</v>
      </c>
      <c r="G51" s="546">
        <v>978.25</v>
      </c>
      <c r="H51" s="546">
        <v>1396.1399999999999</v>
      </c>
      <c r="I51" s="546">
        <v>1690.7</v>
      </c>
      <c r="J51" s="546">
        <v>939.48</v>
      </c>
      <c r="K51" s="546">
        <v>875.16</v>
      </c>
      <c r="L51" s="546">
        <v>0</v>
      </c>
      <c r="M51" s="546">
        <v>0</v>
      </c>
      <c r="N51" s="546">
        <v>0</v>
      </c>
      <c r="O51" s="546">
        <v>0</v>
      </c>
      <c r="P51" s="546">
        <v>0</v>
      </c>
      <c r="Q51" s="546">
        <v>0</v>
      </c>
      <c r="R51" s="548">
        <v>487</v>
      </c>
      <c r="S51" s="547">
        <f t="shared" si="1"/>
        <v>9111.77</v>
      </c>
      <c r="T51" s="675">
        <f>T50</f>
        <v>19.599435564957187</v>
      </c>
      <c r="U51" s="676">
        <f t="shared" si="2"/>
        <v>9544.9251201341503</v>
      </c>
      <c r="V51" s="555"/>
    </row>
    <row r="52" spans="1:22" ht="14.55" x14ac:dyDescent="0.35">
      <c r="A52" s="544" t="s">
        <v>435</v>
      </c>
      <c r="B52" s="544" t="s">
        <v>437</v>
      </c>
      <c r="C52" s="544" t="s">
        <v>436</v>
      </c>
      <c r="D52" s="544" t="s">
        <v>425</v>
      </c>
      <c r="E52" s="545">
        <v>18.71</v>
      </c>
      <c r="F52" s="546">
        <v>0</v>
      </c>
      <c r="G52" s="546">
        <v>0</v>
      </c>
      <c r="H52" s="546">
        <v>0</v>
      </c>
      <c r="I52" s="546">
        <v>0</v>
      </c>
      <c r="J52" s="546">
        <v>0</v>
      </c>
      <c r="K52" s="546">
        <v>0</v>
      </c>
      <c r="L52" s="546">
        <v>1365.85</v>
      </c>
      <c r="M52" s="546">
        <v>292.36</v>
      </c>
      <c r="N52" s="546">
        <v>946.34</v>
      </c>
      <c r="O52" s="546">
        <v>486.30000000000007</v>
      </c>
      <c r="P52" s="546">
        <v>508.88</v>
      </c>
      <c r="Q52" s="546">
        <v>306.78000000000003</v>
      </c>
      <c r="R52" s="548">
        <v>224</v>
      </c>
      <c r="S52" s="547">
        <f t="shared" si="1"/>
        <v>4191.04</v>
      </c>
      <c r="T52" s="675">
        <f>T51</f>
        <v>19.599435564957187</v>
      </c>
      <c r="U52" s="676">
        <f t="shared" si="2"/>
        <v>4390.2735665504097</v>
      </c>
      <c r="V52" s="555"/>
    </row>
    <row r="53" spans="1:22" ht="14.55" x14ac:dyDescent="0.35">
      <c r="A53" s="544" t="s">
        <v>435</v>
      </c>
      <c r="B53" s="544" t="s">
        <v>438</v>
      </c>
      <c r="C53" s="544" t="s">
        <v>436</v>
      </c>
      <c r="D53" s="544" t="s">
        <v>426</v>
      </c>
      <c r="E53" s="545">
        <v>5.61</v>
      </c>
      <c r="F53" s="546">
        <v>2857.4</v>
      </c>
      <c r="G53" s="546">
        <v>3673.2000000000007</v>
      </c>
      <c r="H53" s="546">
        <v>2990.5599999999995</v>
      </c>
      <c r="I53" s="546">
        <v>3257.2</v>
      </c>
      <c r="J53" s="546">
        <v>3008.27</v>
      </c>
      <c r="K53" s="546">
        <v>2677.09</v>
      </c>
      <c r="L53" s="546">
        <v>0</v>
      </c>
      <c r="M53" s="546">
        <v>0</v>
      </c>
      <c r="N53" s="546">
        <v>0</v>
      </c>
      <c r="O53" s="546">
        <v>0</v>
      </c>
      <c r="P53" s="546">
        <v>0</v>
      </c>
      <c r="Q53" s="546">
        <v>0</v>
      </c>
      <c r="R53" s="548">
        <v>4251</v>
      </c>
      <c r="S53" s="547">
        <f t="shared" si="1"/>
        <v>23848.11</v>
      </c>
      <c r="T53" s="675">
        <f>T39</f>
        <v>5.8798306694871556</v>
      </c>
      <c r="U53" s="676">
        <f t="shared" si="2"/>
        <v>24995.160175989899</v>
      </c>
      <c r="V53" s="555"/>
    </row>
    <row r="54" spans="1:22" ht="14.55" x14ac:dyDescent="0.35">
      <c r="A54" s="544" t="s">
        <v>435</v>
      </c>
      <c r="B54" s="544" t="s">
        <v>438</v>
      </c>
      <c r="C54" s="544" t="s">
        <v>436</v>
      </c>
      <c r="D54" s="544" t="s">
        <v>426</v>
      </c>
      <c r="E54" s="545">
        <v>5.61</v>
      </c>
      <c r="F54" s="546">
        <v>0</v>
      </c>
      <c r="G54" s="546">
        <v>0</v>
      </c>
      <c r="H54" s="546">
        <v>0</v>
      </c>
      <c r="I54" s="546">
        <v>0</v>
      </c>
      <c r="J54" s="546">
        <v>0</v>
      </c>
      <c r="K54" s="546">
        <v>0</v>
      </c>
      <c r="L54" s="546">
        <v>2284.13</v>
      </c>
      <c r="M54" s="546">
        <v>1694.86</v>
      </c>
      <c r="N54" s="546">
        <v>1608.5000000000002</v>
      </c>
      <c r="O54" s="546">
        <v>1986.64</v>
      </c>
      <c r="P54" s="546">
        <v>1750.7400000000002</v>
      </c>
      <c r="Q54" s="546">
        <v>1065.22</v>
      </c>
      <c r="R54" s="548">
        <v>1962</v>
      </c>
      <c r="S54" s="547">
        <f t="shared" si="1"/>
        <v>11006.820000000002</v>
      </c>
      <c r="T54" s="675">
        <f>T53</f>
        <v>5.8798306694871556</v>
      </c>
      <c r="U54" s="676">
        <f t="shared" si="2"/>
        <v>11536.227773533799</v>
      </c>
      <c r="V54" s="555"/>
    </row>
    <row r="55" spans="1:22" ht="14.55" x14ac:dyDescent="0.35">
      <c r="A55" s="544" t="s">
        <v>435</v>
      </c>
      <c r="B55" s="544" t="s">
        <v>409</v>
      </c>
      <c r="C55" s="544" t="s">
        <v>436</v>
      </c>
      <c r="D55" s="544" t="s">
        <v>410</v>
      </c>
      <c r="E55" s="545">
        <v>14.7</v>
      </c>
      <c r="F55" s="546">
        <v>0</v>
      </c>
      <c r="G55" s="546">
        <v>0</v>
      </c>
      <c r="H55" s="546">
        <v>52.72</v>
      </c>
      <c r="I55" s="546">
        <v>52.72</v>
      </c>
      <c r="J55" s="546">
        <v>79.08</v>
      </c>
      <c r="K55" s="546">
        <v>92.26</v>
      </c>
      <c r="L55" s="546">
        <v>0</v>
      </c>
      <c r="M55" s="546">
        <v>0</v>
      </c>
      <c r="N55" s="546">
        <v>0</v>
      </c>
      <c r="O55" s="546">
        <v>0</v>
      </c>
      <c r="P55" s="546">
        <v>0</v>
      </c>
      <c r="Q55" s="546">
        <v>0</v>
      </c>
      <c r="R55" s="548">
        <v>21</v>
      </c>
      <c r="S55" s="547">
        <f t="shared" si="1"/>
        <v>308.7</v>
      </c>
      <c r="T55" s="675">
        <f>T43</f>
        <v>16.220952789599341</v>
      </c>
      <c r="U55" s="676">
        <f t="shared" si="2"/>
        <v>340.64000858158619</v>
      </c>
      <c r="V55" s="555"/>
    </row>
    <row r="56" spans="1:22" ht="14.55" x14ac:dyDescent="0.35">
      <c r="A56" s="544" t="s">
        <v>435</v>
      </c>
      <c r="B56" s="544" t="s">
        <v>409</v>
      </c>
      <c r="C56" s="544" t="s">
        <v>436</v>
      </c>
      <c r="D56" s="544" t="s">
        <v>410</v>
      </c>
      <c r="E56" s="545">
        <v>14.7</v>
      </c>
      <c r="F56" s="546">
        <v>0</v>
      </c>
      <c r="G56" s="546">
        <v>0</v>
      </c>
      <c r="H56" s="546">
        <v>0</v>
      </c>
      <c r="I56" s="546">
        <v>0</v>
      </c>
      <c r="J56" s="546">
        <v>0</v>
      </c>
      <c r="K56" s="546">
        <v>0</v>
      </c>
      <c r="L56" s="546">
        <v>382.2</v>
      </c>
      <c r="M56" s="546">
        <v>88.2</v>
      </c>
      <c r="N56" s="546">
        <v>29.4</v>
      </c>
      <c r="O56" s="546">
        <v>102.9</v>
      </c>
      <c r="P56" s="546">
        <v>396.9</v>
      </c>
      <c r="Q56" s="546">
        <v>264.60000000000002</v>
      </c>
      <c r="R56" s="548">
        <v>86</v>
      </c>
      <c r="S56" s="547">
        <f t="shared" si="1"/>
        <v>1264.2</v>
      </c>
      <c r="T56" s="675">
        <f>T55</f>
        <v>16.220952789599341</v>
      </c>
      <c r="U56" s="676">
        <f t="shared" si="2"/>
        <v>1395.0019399055434</v>
      </c>
      <c r="V56" s="555"/>
    </row>
    <row r="57" spans="1:22" ht="14.55" x14ac:dyDescent="0.35">
      <c r="A57" s="544" t="s">
        <v>435</v>
      </c>
      <c r="B57" s="544" t="s">
        <v>411</v>
      </c>
      <c r="C57" s="544" t="s">
        <v>436</v>
      </c>
      <c r="D57" s="544" t="s">
        <v>412</v>
      </c>
      <c r="E57" s="545">
        <v>20.93</v>
      </c>
      <c r="F57" s="546">
        <v>0</v>
      </c>
      <c r="G57" s="546">
        <v>0</v>
      </c>
      <c r="H57" s="546">
        <v>0</v>
      </c>
      <c r="I57" s="546">
        <v>20.38</v>
      </c>
      <c r="J57" s="546">
        <v>0</v>
      </c>
      <c r="K57" s="546">
        <v>0</v>
      </c>
      <c r="L57" s="546">
        <v>0</v>
      </c>
      <c r="M57" s="546">
        <v>0</v>
      </c>
      <c r="N57" s="546">
        <v>0</v>
      </c>
      <c r="O57" s="546">
        <v>0</v>
      </c>
      <c r="P57" s="546">
        <v>0</v>
      </c>
      <c r="Q57" s="546">
        <v>0</v>
      </c>
      <c r="R57" s="548">
        <v>1</v>
      </c>
      <c r="S57" s="547">
        <f t="shared" si="1"/>
        <v>20.93</v>
      </c>
      <c r="T57" s="675">
        <f>T45</f>
        <v>20.14226865397033</v>
      </c>
      <c r="U57" s="676">
        <f t="shared" si="2"/>
        <v>20.14226865397033</v>
      </c>
      <c r="V57" s="555"/>
    </row>
    <row r="58" spans="1:22" ht="14.55" x14ac:dyDescent="0.35">
      <c r="A58" s="544" t="s">
        <v>435</v>
      </c>
      <c r="B58" s="544" t="s">
        <v>411</v>
      </c>
      <c r="C58" s="544" t="s">
        <v>436</v>
      </c>
      <c r="D58" s="544" t="s">
        <v>412</v>
      </c>
      <c r="E58" s="545">
        <v>20.93</v>
      </c>
      <c r="F58" s="546">
        <v>0</v>
      </c>
      <c r="G58" s="546">
        <v>0</v>
      </c>
      <c r="H58" s="546">
        <v>0</v>
      </c>
      <c r="I58" s="546">
        <v>0</v>
      </c>
      <c r="J58" s="546">
        <v>0</v>
      </c>
      <c r="K58" s="546">
        <v>0</v>
      </c>
      <c r="L58" s="546">
        <v>0</v>
      </c>
      <c r="M58" s="546">
        <v>0</v>
      </c>
      <c r="N58" s="546">
        <v>20.93</v>
      </c>
      <c r="O58" s="546">
        <v>0</v>
      </c>
      <c r="P58" s="546">
        <v>0</v>
      </c>
      <c r="Q58" s="546">
        <v>0</v>
      </c>
      <c r="R58" s="548">
        <v>1</v>
      </c>
      <c r="S58" s="547">
        <f t="shared" si="1"/>
        <v>20.93</v>
      </c>
      <c r="T58" s="675">
        <f>T57</f>
        <v>20.14226865397033</v>
      </c>
      <c r="U58" s="676">
        <f t="shared" si="2"/>
        <v>20.14226865397033</v>
      </c>
      <c r="V58" s="555"/>
    </row>
    <row r="59" spans="1:22" ht="14.55" x14ac:dyDescent="0.35">
      <c r="A59" s="544" t="s">
        <v>435</v>
      </c>
      <c r="B59" s="544" t="s">
        <v>427</v>
      </c>
      <c r="C59" s="544" t="s">
        <v>436</v>
      </c>
      <c r="D59" s="544" t="s">
        <v>428</v>
      </c>
      <c r="E59" s="545">
        <v>19.260000000000002</v>
      </c>
      <c r="F59" s="546">
        <v>0</v>
      </c>
      <c r="G59" s="546">
        <v>0</v>
      </c>
      <c r="H59" s="546">
        <v>0</v>
      </c>
      <c r="I59" s="546">
        <v>74.599999999999994</v>
      </c>
      <c r="J59" s="546">
        <v>0</v>
      </c>
      <c r="K59" s="546">
        <v>0</v>
      </c>
      <c r="L59" s="546">
        <v>0</v>
      </c>
      <c r="M59" s="546">
        <v>0</v>
      </c>
      <c r="N59" s="546">
        <v>0</v>
      </c>
      <c r="O59" s="546">
        <v>0</v>
      </c>
      <c r="P59" s="546">
        <v>0</v>
      </c>
      <c r="Q59" s="546">
        <v>0</v>
      </c>
      <c r="R59" s="548">
        <v>4</v>
      </c>
      <c r="S59" s="547">
        <f t="shared" si="1"/>
        <v>77.040000000000006</v>
      </c>
      <c r="T59" s="675">
        <f>Family.Couple!H24</f>
        <v>0</v>
      </c>
      <c r="U59" s="676">
        <f t="shared" si="2"/>
        <v>0</v>
      </c>
      <c r="V59" s="555"/>
    </row>
    <row r="60" spans="1:22" ht="14.55" x14ac:dyDescent="0.35">
      <c r="A60" s="544" t="s">
        <v>435</v>
      </c>
      <c r="B60" s="544" t="s">
        <v>427</v>
      </c>
      <c r="C60" s="544" t="s">
        <v>436</v>
      </c>
      <c r="D60" s="544" t="s">
        <v>428</v>
      </c>
      <c r="E60" s="545">
        <v>19.260000000000002</v>
      </c>
      <c r="F60" s="546">
        <v>0</v>
      </c>
      <c r="G60" s="546">
        <v>0</v>
      </c>
      <c r="H60" s="546">
        <v>0</v>
      </c>
      <c r="I60" s="546">
        <v>0</v>
      </c>
      <c r="J60" s="546">
        <v>0</v>
      </c>
      <c r="K60" s="546">
        <v>0</v>
      </c>
      <c r="L60" s="546">
        <v>0</v>
      </c>
      <c r="M60" s="546">
        <v>0</v>
      </c>
      <c r="N60" s="546">
        <v>0</v>
      </c>
      <c r="O60" s="546">
        <v>0</v>
      </c>
      <c r="P60" s="546">
        <v>192.6</v>
      </c>
      <c r="Q60" s="546">
        <v>231.12</v>
      </c>
      <c r="R60" s="548">
        <v>22</v>
      </c>
      <c r="S60" s="547">
        <f t="shared" si="1"/>
        <v>423.72</v>
      </c>
      <c r="T60" s="675">
        <f>Family.Couple!H24</f>
        <v>0</v>
      </c>
      <c r="U60" s="676">
        <f t="shared" si="2"/>
        <v>0</v>
      </c>
      <c r="V60" s="555"/>
    </row>
    <row r="61" spans="1:22" ht="14.55" x14ac:dyDescent="0.35">
      <c r="A61" s="544" t="s">
        <v>439</v>
      </c>
      <c r="B61" s="544" t="s">
        <v>421</v>
      </c>
      <c r="C61" s="544" t="s">
        <v>440</v>
      </c>
      <c r="D61" s="544" t="s">
        <v>441</v>
      </c>
      <c r="E61" s="545">
        <v>37.43</v>
      </c>
      <c r="F61" s="546">
        <v>313.96597826086958</v>
      </c>
      <c r="G61" s="546">
        <v>313.96597826086958</v>
      </c>
      <c r="H61" s="546">
        <v>303.83804347826089</v>
      </c>
      <c r="I61" s="546">
        <v>310.59000000000003</v>
      </c>
      <c r="J61" s="546">
        <v>379.60999999999996</v>
      </c>
      <c r="K61" s="546">
        <v>241.57</v>
      </c>
      <c r="L61" s="546">
        <v>0</v>
      </c>
      <c r="M61" s="546">
        <v>0</v>
      </c>
      <c r="N61" s="546">
        <v>0</v>
      </c>
      <c r="O61" s="546">
        <v>0</v>
      </c>
      <c r="P61" s="546">
        <v>0</v>
      </c>
      <c r="Q61" s="546">
        <v>0</v>
      </c>
      <c r="R61" s="548">
        <v>54</v>
      </c>
      <c r="S61" s="547">
        <f t="shared" si="1"/>
        <v>2021.22</v>
      </c>
      <c r="T61" s="675">
        <f>'Outpatient Counseling '!R6</f>
        <v>39.198871129914373</v>
      </c>
      <c r="U61" s="676">
        <f t="shared" si="2"/>
        <v>2116.7390410153762</v>
      </c>
      <c r="V61" s="555"/>
    </row>
    <row r="62" spans="1:22" ht="14.55" x14ac:dyDescent="0.35">
      <c r="A62" s="544" t="s">
        <v>439</v>
      </c>
      <c r="B62" s="544" t="s">
        <v>421</v>
      </c>
      <c r="C62" s="544" t="s">
        <v>440</v>
      </c>
      <c r="D62" s="544" t="s">
        <v>441</v>
      </c>
      <c r="E62" s="545">
        <v>37.43</v>
      </c>
      <c r="F62" s="546">
        <v>0</v>
      </c>
      <c r="G62" s="546">
        <v>0</v>
      </c>
      <c r="H62" s="546">
        <v>0</v>
      </c>
      <c r="I62" s="546">
        <v>0</v>
      </c>
      <c r="J62" s="546">
        <v>0</v>
      </c>
      <c r="K62" s="546">
        <v>0</v>
      </c>
      <c r="L62" s="546">
        <v>224.57999999999998</v>
      </c>
      <c r="M62" s="546">
        <v>411.73</v>
      </c>
      <c r="N62" s="546">
        <v>299.44</v>
      </c>
      <c r="O62" s="546">
        <v>112.28999999999999</v>
      </c>
      <c r="P62" s="546">
        <v>262.01</v>
      </c>
      <c r="Q62" s="546">
        <v>112.28999999999999</v>
      </c>
      <c r="R62" s="548">
        <v>38</v>
      </c>
      <c r="S62" s="547">
        <f t="shared" si="1"/>
        <v>1422.34</v>
      </c>
      <c r="T62" s="675">
        <f>T61</f>
        <v>39.198871129914373</v>
      </c>
      <c r="U62" s="676">
        <f t="shared" si="2"/>
        <v>1489.5571029367461</v>
      </c>
      <c r="V62" s="555"/>
    </row>
    <row r="63" spans="1:22" ht="14.55" x14ac:dyDescent="0.35">
      <c r="A63" s="544" t="s">
        <v>439</v>
      </c>
      <c r="B63" s="544" t="s">
        <v>409</v>
      </c>
      <c r="C63" s="544" t="s">
        <v>440</v>
      </c>
      <c r="D63" s="544" t="s">
        <v>410</v>
      </c>
      <c r="E63" s="545">
        <v>14.7</v>
      </c>
      <c r="F63" s="546">
        <v>1367.8547826086956</v>
      </c>
      <c r="G63" s="546">
        <v>1367.8547826086956</v>
      </c>
      <c r="H63" s="546">
        <v>1323.7304347826087</v>
      </c>
      <c r="I63" s="546">
        <v>2965.5</v>
      </c>
      <c r="J63" s="546">
        <v>632.64</v>
      </c>
      <c r="K63" s="546">
        <v>461.3</v>
      </c>
      <c r="L63" s="546">
        <v>0</v>
      </c>
      <c r="M63" s="546">
        <v>0</v>
      </c>
      <c r="N63" s="546">
        <v>0</v>
      </c>
      <c r="O63" s="546">
        <v>0</v>
      </c>
      <c r="P63" s="546">
        <v>0</v>
      </c>
      <c r="Q63" s="546">
        <v>0</v>
      </c>
      <c r="R63" s="548">
        <v>616</v>
      </c>
      <c r="S63" s="547">
        <f t="shared" si="1"/>
        <v>9055.1999999999989</v>
      </c>
      <c r="T63" s="675">
        <f>T55</f>
        <v>16.220952789599341</v>
      </c>
      <c r="U63" s="676">
        <f t="shared" si="2"/>
        <v>9992.1069183931941</v>
      </c>
      <c r="V63" s="555"/>
    </row>
    <row r="64" spans="1:22" ht="14.55" x14ac:dyDescent="0.35">
      <c r="A64" s="544" t="s">
        <v>439</v>
      </c>
      <c r="B64" s="544" t="s">
        <v>409</v>
      </c>
      <c r="C64" s="544" t="s">
        <v>440</v>
      </c>
      <c r="D64" s="544" t="s">
        <v>410</v>
      </c>
      <c r="E64" s="545">
        <v>14.7</v>
      </c>
      <c r="F64" s="546">
        <v>0</v>
      </c>
      <c r="G64" s="546">
        <v>0</v>
      </c>
      <c r="H64" s="546">
        <v>0</v>
      </c>
      <c r="I64" s="546">
        <v>0</v>
      </c>
      <c r="J64" s="546">
        <v>0</v>
      </c>
      <c r="K64" s="546">
        <v>0</v>
      </c>
      <c r="L64" s="546">
        <v>529.20000000000005</v>
      </c>
      <c r="M64" s="546">
        <v>632.1</v>
      </c>
      <c r="N64" s="546">
        <v>294</v>
      </c>
      <c r="O64" s="546">
        <v>0</v>
      </c>
      <c r="P64" s="546">
        <v>0</v>
      </c>
      <c r="Q64" s="546">
        <v>0</v>
      </c>
      <c r="R64" s="548">
        <v>99</v>
      </c>
      <c r="S64" s="547">
        <f t="shared" si="1"/>
        <v>1455.3</v>
      </c>
      <c r="T64" s="675">
        <f>T63</f>
        <v>16.220952789599341</v>
      </c>
      <c r="U64" s="676">
        <f t="shared" si="2"/>
        <v>1605.8743261703348</v>
      </c>
      <c r="V64" s="555"/>
    </row>
    <row r="65" spans="1:24" ht="14.55" x14ac:dyDescent="0.35">
      <c r="A65" s="544" t="s">
        <v>439</v>
      </c>
      <c r="B65" s="544" t="s">
        <v>411</v>
      </c>
      <c r="C65" s="544" t="s">
        <v>440</v>
      </c>
      <c r="D65" s="544" t="s">
        <v>412</v>
      </c>
      <c r="E65" s="545">
        <v>20.93</v>
      </c>
      <c r="F65" s="546">
        <v>5823.3634782608697</v>
      </c>
      <c r="G65" s="546">
        <v>5823.3634782608697</v>
      </c>
      <c r="H65" s="546">
        <v>5635.5130434782604</v>
      </c>
      <c r="I65" s="546">
        <v>5461.84</v>
      </c>
      <c r="J65" s="546">
        <v>4993.0999999999995</v>
      </c>
      <c r="K65" s="546">
        <v>6827.2999999999993</v>
      </c>
      <c r="L65" s="546">
        <v>0</v>
      </c>
      <c r="M65" s="546">
        <v>0</v>
      </c>
      <c r="N65" s="546">
        <v>0</v>
      </c>
      <c r="O65" s="546">
        <v>0</v>
      </c>
      <c r="P65" s="546">
        <v>0</v>
      </c>
      <c r="Q65" s="546">
        <v>0</v>
      </c>
      <c r="R65" s="548">
        <v>1696</v>
      </c>
      <c r="S65" s="547">
        <f t="shared" si="1"/>
        <v>35497.279999999999</v>
      </c>
      <c r="T65" s="675">
        <f>T57</f>
        <v>20.14226865397033</v>
      </c>
      <c r="U65" s="676">
        <f t="shared" si="2"/>
        <v>34161.287637133682</v>
      </c>
      <c r="V65" s="555"/>
    </row>
    <row r="66" spans="1:24" ht="14.55" x14ac:dyDescent="0.35">
      <c r="A66" s="544" t="s">
        <v>439</v>
      </c>
      <c r="B66" s="544" t="s">
        <v>411</v>
      </c>
      <c r="C66" s="544" t="s">
        <v>440</v>
      </c>
      <c r="D66" s="544" t="s">
        <v>412</v>
      </c>
      <c r="E66" s="545">
        <v>20.93</v>
      </c>
      <c r="F66" s="546">
        <v>0</v>
      </c>
      <c r="G66" s="546">
        <v>0</v>
      </c>
      <c r="H66" s="546">
        <v>0</v>
      </c>
      <c r="I66" s="546">
        <v>0</v>
      </c>
      <c r="J66" s="546">
        <v>0</v>
      </c>
      <c r="K66" s="546">
        <v>0</v>
      </c>
      <c r="L66" s="546">
        <v>8623.16</v>
      </c>
      <c r="M66" s="546">
        <v>4981.3399999999992</v>
      </c>
      <c r="N66" s="546">
        <v>8330.14</v>
      </c>
      <c r="O66" s="546">
        <v>7053.41</v>
      </c>
      <c r="P66" s="546">
        <v>4311.58</v>
      </c>
      <c r="Q66" s="546">
        <v>2720.8999999999996</v>
      </c>
      <c r="R66" s="548">
        <v>1721</v>
      </c>
      <c r="S66" s="547">
        <f t="shared" si="1"/>
        <v>36020.53</v>
      </c>
      <c r="T66" s="675">
        <f>T65</f>
        <v>20.14226865397033</v>
      </c>
      <c r="U66" s="676">
        <f t="shared" si="2"/>
        <v>34664.844353482935</v>
      </c>
      <c r="V66" s="555"/>
    </row>
    <row r="67" spans="1:24" ht="14.55" x14ac:dyDescent="0.35">
      <c r="A67" s="544" t="s">
        <v>439</v>
      </c>
      <c r="B67" s="544" t="s">
        <v>442</v>
      </c>
      <c r="C67" s="544" t="s">
        <v>440</v>
      </c>
      <c r="D67" s="544" t="s">
        <v>443</v>
      </c>
      <c r="E67" s="545">
        <v>21</v>
      </c>
      <c r="F67" s="546">
        <v>1008.8613043478261</v>
      </c>
      <c r="G67" s="546">
        <v>1008.8613043478261</v>
      </c>
      <c r="H67" s="546">
        <v>976.31739130434789</v>
      </c>
      <c r="I67" s="546">
        <v>1132.8800000000001</v>
      </c>
      <c r="J67" s="546">
        <v>1051.96</v>
      </c>
      <c r="K67" s="546">
        <v>809.2</v>
      </c>
      <c r="L67" s="546">
        <v>0</v>
      </c>
      <c r="M67" s="546">
        <v>0</v>
      </c>
      <c r="N67" s="546">
        <v>0</v>
      </c>
      <c r="O67" s="546">
        <v>0</v>
      </c>
      <c r="P67" s="546">
        <v>0</v>
      </c>
      <c r="Q67" s="546">
        <v>0</v>
      </c>
      <c r="R67" s="548">
        <v>296</v>
      </c>
      <c r="S67" s="547">
        <f t="shared" si="1"/>
        <v>6216</v>
      </c>
      <c r="T67" s="675">
        <f>'InHome Therapy'!F24</f>
        <v>22.091138531272939</v>
      </c>
      <c r="U67" s="676">
        <f t="shared" si="2"/>
        <v>6538.9770052567901</v>
      </c>
      <c r="V67" s="555"/>
    </row>
    <row r="68" spans="1:24" ht="14.55" x14ac:dyDescent="0.35">
      <c r="A68" s="544" t="s">
        <v>439</v>
      </c>
      <c r="B68" s="544" t="s">
        <v>442</v>
      </c>
      <c r="C68" s="544" t="s">
        <v>440</v>
      </c>
      <c r="D68" s="544" t="s">
        <v>443</v>
      </c>
      <c r="E68" s="545">
        <v>21</v>
      </c>
      <c r="F68" s="546">
        <v>0</v>
      </c>
      <c r="G68" s="546">
        <v>0</v>
      </c>
      <c r="H68" s="546">
        <v>0</v>
      </c>
      <c r="I68" s="546">
        <v>0</v>
      </c>
      <c r="J68" s="546">
        <v>0</v>
      </c>
      <c r="K68" s="546">
        <v>0</v>
      </c>
      <c r="L68" s="546">
        <v>756</v>
      </c>
      <c r="M68" s="546">
        <v>1281</v>
      </c>
      <c r="N68" s="546">
        <v>252</v>
      </c>
      <c r="O68" s="546">
        <v>252</v>
      </c>
      <c r="P68" s="546">
        <v>63</v>
      </c>
      <c r="Q68" s="546">
        <v>0</v>
      </c>
      <c r="R68" s="548">
        <v>124</v>
      </c>
      <c r="S68" s="547">
        <f t="shared" si="1"/>
        <v>2604</v>
      </c>
      <c r="T68" s="675">
        <f>T67</f>
        <v>22.091138531272939</v>
      </c>
      <c r="U68" s="676">
        <f t="shared" si="2"/>
        <v>2739.3011778778446</v>
      </c>
      <c r="V68" s="555"/>
    </row>
    <row r="69" spans="1:24" ht="14.55" x14ac:dyDescent="0.35">
      <c r="A69" s="544" t="s">
        <v>444</v>
      </c>
      <c r="B69" s="544" t="s">
        <v>92</v>
      </c>
      <c r="C69" s="544" t="s">
        <v>445</v>
      </c>
      <c r="D69" s="544" t="s">
        <v>446</v>
      </c>
      <c r="E69" s="545">
        <v>3.89</v>
      </c>
      <c r="F69" s="546">
        <v>5611.5728260869555</v>
      </c>
      <c r="G69" s="546">
        <v>5611.5728260869555</v>
      </c>
      <c r="H69" s="546">
        <v>5430.5543478260861</v>
      </c>
      <c r="I69" s="546">
        <v>6907.9</v>
      </c>
      <c r="J69" s="546">
        <v>4983.8999999999996</v>
      </c>
      <c r="K69" s="546">
        <v>4761.8999999999996</v>
      </c>
      <c r="L69" s="546">
        <v>0</v>
      </c>
      <c r="M69" s="546">
        <v>0</v>
      </c>
      <c r="N69" s="546">
        <v>0</v>
      </c>
      <c r="O69" s="546">
        <v>0</v>
      </c>
      <c r="P69" s="546">
        <v>0</v>
      </c>
      <c r="Q69" s="546">
        <v>0</v>
      </c>
      <c r="R69" s="548">
        <v>9002</v>
      </c>
      <c r="S69" s="547">
        <f t="shared" si="1"/>
        <v>35017.78</v>
      </c>
      <c r="T69" s="675">
        <f>Psycho.Ed!F25</f>
        <v>4.2564858895456172</v>
      </c>
      <c r="U69" s="676">
        <f t="shared" si="2"/>
        <v>38316.88597768965</v>
      </c>
      <c r="V69" s="555"/>
    </row>
    <row r="70" spans="1:24" ht="14.4" x14ac:dyDescent="0.3">
      <c r="A70" s="544" t="s">
        <v>444</v>
      </c>
      <c r="B70" s="544" t="s">
        <v>92</v>
      </c>
      <c r="C70" s="544" t="s">
        <v>445</v>
      </c>
      <c r="D70" s="544" t="s">
        <v>446</v>
      </c>
      <c r="E70" s="545">
        <v>3.89</v>
      </c>
      <c r="F70" s="546">
        <v>0</v>
      </c>
      <c r="G70" s="546">
        <v>0</v>
      </c>
      <c r="H70" s="546">
        <v>0</v>
      </c>
      <c r="I70" s="546">
        <v>0</v>
      </c>
      <c r="J70" s="546">
        <v>0</v>
      </c>
      <c r="K70" s="546">
        <v>0</v>
      </c>
      <c r="L70" s="546">
        <v>6581.8799999999992</v>
      </c>
      <c r="M70" s="546">
        <v>5741.6399999999994</v>
      </c>
      <c r="N70" s="546">
        <v>1478.2</v>
      </c>
      <c r="O70" s="546">
        <v>1470.42</v>
      </c>
      <c r="P70" s="546">
        <v>1991.68</v>
      </c>
      <c r="Q70" s="546">
        <v>1307.04</v>
      </c>
      <c r="R70" s="548">
        <v>4774</v>
      </c>
      <c r="S70" s="547">
        <f t="shared" si="1"/>
        <v>18570.86</v>
      </c>
      <c r="T70" s="675">
        <f>T69</f>
        <v>4.2564858895456172</v>
      </c>
      <c r="U70" s="676">
        <f t="shared" si="2"/>
        <v>20320.463636690776</v>
      </c>
      <c r="V70" s="555"/>
    </row>
    <row r="71" spans="1:24" ht="14.4" x14ac:dyDescent="0.3">
      <c r="A71" s="544" t="s">
        <v>444</v>
      </c>
      <c r="B71" s="544" t="s">
        <v>427</v>
      </c>
      <c r="C71" s="544" t="s">
        <v>445</v>
      </c>
      <c r="D71" s="544" t="s">
        <v>447</v>
      </c>
      <c r="E71" s="545">
        <v>19.260000000000002</v>
      </c>
      <c r="F71" s="546">
        <v>1633.9021739130435</v>
      </c>
      <c r="G71" s="546">
        <v>1633.9021739130435</v>
      </c>
      <c r="H71" s="546">
        <v>1581.195652173913</v>
      </c>
      <c r="I71" s="546">
        <v>2088.8000000000002</v>
      </c>
      <c r="J71" s="546">
        <v>1827.6999999999998</v>
      </c>
      <c r="K71" s="546">
        <v>932.5</v>
      </c>
      <c r="L71" s="546">
        <v>0</v>
      </c>
      <c r="M71" s="546">
        <v>0</v>
      </c>
      <c r="N71" s="546">
        <v>0</v>
      </c>
      <c r="O71" s="546">
        <v>0</v>
      </c>
      <c r="P71" s="546">
        <v>0</v>
      </c>
      <c r="Q71" s="546">
        <v>0</v>
      </c>
      <c r="R71" s="548">
        <v>520</v>
      </c>
      <c r="S71" s="547">
        <f t="shared" si="1"/>
        <v>10015.200000000001</v>
      </c>
      <c r="T71" s="675">
        <f>Family.Couple!H24</f>
        <v>0</v>
      </c>
      <c r="U71" s="676">
        <f t="shared" ref="U71:U72" si="3">T71*R71</f>
        <v>0</v>
      </c>
      <c r="V71" s="555"/>
    </row>
    <row r="72" spans="1:24" ht="15" thickBot="1" x14ac:dyDescent="0.35">
      <c r="A72" s="544" t="s">
        <v>444</v>
      </c>
      <c r="B72" s="544" t="s">
        <v>427</v>
      </c>
      <c r="C72" s="544" t="s">
        <v>445</v>
      </c>
      <c r="D72" s="544" t="s">
        <v>447</v>
      </c>
      <c r="E72" s="545">
        <v>19.260000000000002</v>
      </c>
      <c r="F72" s="546">
        <v>0</v>
      </c>
      <c r="G72" s="546">
        <v>0</v>
      </c>
      <c r="H72" s="546">
        <v>0</v>
      </c>
      <c r="I72" s="546">
        <v>0</v>
      </c>
      <c r="J72" s="546">
        <v>0</v>
      </c>
      <c r="K72" s="546">
        <v>0</v>
      </c>
      <c r="L72" s="546">
        <v>963</v>
      </c>
      <c r="M72" s="546">
        <v>231.12</v>
      </c>
      <c r="N72" s="546">
        <v>154.08000000000001</v>
      </c>
      <c r="O72" s="546">
        <v>0</v>
      </c>
      <c r="P72" s="546">
        <v>0</v>
      </c>
      <c r="Q72" s="546">
        <v>0</v>
      </c>
      <c r="R72" s="549">
        <v>70</v>
      </c>
      <c r="S72" s="547">
        <f t="shared" ref="S72" si="4">R72*E72</f>
        <v>1348.2</v>
      </c>
      <c r="T72" s="677">
        <f>T71</f>
        <v>0</v>
      </c>
      <c r="U72" s="678">
        <f t="shared" si="3"/>
        <v>0</v>
      </c>
      <c r="V72" s="557"/>
    </row>
    <row r="73" spans="1:24" ht="13.8" thickBot="1" x14ac:dyDescent="0.3">
      <c r="F73" s="550">
        <v>217673.05054347828</v>
      </c>
      <c r="G73" s="551">
        <v>186374.67054347828</v>
      </c>
      <c r="H73" s="551">
        <v>154780.51891304349</v>
      </c>
      <c r="I73" s="551">
        <v>176806.34000000003</v>
      </c>
      <c r="J73" s="551">
        <v>160376.66999999998</v>
      </c>
      <c r="K73" s="551">
        <v>158625.37999999998</v>
      </c>
      <c r="L73" s="551">
        <v>196979.32</v>
      </c>
      <c r="M73" s="551">
        <v>159442.62</v>
      </c>
      <c r="N73" s="551">
        <v>160342.84999999995</v>
      </c>
      <c r="O73" s="551">
        <v>188089.04</v>
      </c>
      <c r="P73" s="551">
        <v>174235.78999999998</v>
      </c>
      <c r="Q73" s="551">
        <v>150847.08999999997</v>
      </c>
      <c r="S73" s="552">
        <f>SUM(S7:S72)</f>
        <v>2180900.8499999996</v>
      </c>
      <c r="T73" s="553"/>
      <c r="U73" s="681">
        <f>SUM(U7:U72)</f>
        <v>2292802.8780693654</v>
      </c>
      <c r="V73" s="555">
        <f>U73-S73</f>
        <v>111902.02806936577</v>
      </c>
      <c r="W73" s="554">
        <f>(U73-S73)/S73</f>
        <v>5.1310002501656959E-2</v>
      </c>
      <c r="X73" s="558" t="s">
        <v>453</v>
      </c>
    </row>
    <row r="76" spans="1:24" ht="15" customHeight="1" x14ac:dyDescent="0.25">
      <c r="V76" s="555">
        <f>V73*0.5</f>
        <v>55951.014034682885</v>
      </c>
      <c r="X76" s="558" t="s">
        <v>454</v>
      </c>
    </row>
  </sheetData>
  <mergeCells count="1">
    <mergeCell ref="T5:U5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73"/>
  <sheetViews>
    <sheetView workbookViewId="0">
      <selection activeCell="E80" sqref="E80"/>
    </sheetView>
  </sheetViews>
  <sheetFormatPr defaultRowHeight="13.2" x14ac:dyDescent="0.25"/>
  <cols>
    <col min="1" max="1" width="11.33203125" style="538" bestFit="1" customWidth="1"/>
    <col min="2" max="2" width="11.109375" style="538" bestFit="1" customWidth="1"/>
    <col min="3" max="3" width="37.33203125" style="538" bestFit="1" customWidth="1"/>
    <col min="4" max="4" width="23.5546875" style="538" bestFit="1" customWidth="1"/>
    <col min="5" max="5" width="12.88671875" style="538" bestFit="1" customWidth="1"/>
    <col min="6" max="17" width="12.44140625" style="538" hidden="1" customWidth="1"/>
    <col min="18" max="18" width="14.6640625" style="538" bestFit="1" customWidth="1"/>
    <col min="19" max="19" width="15.33203125" style="538" customWidth="1"/>
    <col min="20" max="20" width="9" style="538" bestFit="1" customWidth="1"/>
    <col min="21" max="21" width="12.6640625" style="538" bestFit="1" customWidth="1"/>
    <col min="22" max="22" width="12.6640625" style="538" customWidth="1"/>
    <col min="23" max="255" width="8.88671875" style="538"/>
    <col min="256" max="256" width="11.33203125" style="538" bestFit="1" customWidth="1"/>
    <col min="257" max="257" width="11.109375" style="538" bestFit="1" customWidth="1"/>
    <col min="258" max="258" width="37.33203125" style="538" bestFit="1" customWidth="1"/>
    <col min="259" max="259" width="37.33203125" style="538" customWidth="1"/>
    <col min="260" max="260" width="15.33203125" style="538" bestFit="1" customWidth="1"/>
    <col min="261" max="261" width="14.33203125" style="538" bestFit="1" customWidth="1"/>
    <col min="262" max="262" width="12.88671875" style="538" bestFit="1" customWidth="1"/>
    <col min="263" max="274" width="12.44140625" style="538" bestFit="1" customWidth="1"/>
    <col min="275" max="275" width="14.109375" style="538" bestFit="1" customWidth="1"/>
    <col min="276" max="511" width="8.88671875" style="538"/>
    <col min="512" max="512" width="11.33203125" style="538" bestFit="1" customWidth="1"/>
    <col min="513" max="513" width="11.109375" style="538" bestFit="1" customWidth="1"/>
    <col min="514" max="514" width="37.33203125" style="538" bestFit="1" customWidth="1"/>
    <col min="515" max="515" width="37.33203125" style="538" customWidth="1"/>
    <col min="516" max="516" width="15.33203125" style="538" bestFit="1" customWidth="1"/>
    <col min="517" max="517" width="14.33203125" style="538" bestFit="1" customWidth="1"/>
    <col min="518" max="518" width="12.88671875" style="538" bestFit="1" customWidth="1"/>
    <col min="519" max="530" width="12.44140625" style="538" bestFit="1" customWidth="1"/>
    <col min="531" max="531" width="14.109375" style="538" bestFit="1" customWidth="1"/>
    <col min="532" max="767" width="8.88671875" style="538"/>
    <col min="768" max="768" width="11.33203125" style="538" bestFit="1" customWidth="1"/>
    <col min="769" max="769" width="11.109375" style="538" bestFit="1" customWidth="1"/>
    <col min="770" max="770" width="37.33203125" style="538" bestFit="1" customWidth="1"/>
    <col min="771" max="771" width="37.33203125" style="538" customWidth="1"/>
    <col min="772" max="772" width="15.33203125" style="538" bestFit="1" customWidth="1"/>
    <col min="773" max="773" width="14.33203125" style="538" bestFit="1" customWidth="1"/>
    <col min="774" max="774" width="12.88671875" style="538" bestFit="1" customWidth="1"/>
    <col min="775" max="786" width="12.44140625" style="538" bestFit="1" customWidth="1"/>
    <col min="787" max="787" width="14.109375" style="538" bestFit="1" customWidth="1"/>
    <col min="788" max="1023" width="8.88671875" style="538"/>
    <col min="1024" max="1024" width="11.33203125" style="538" bestFit="1" customWidth="1"/>
    <col min="1025" max="1025" width="11.109375" style="538" bestFit="1" customWidth="1"/>
    <col min="1026" max="1026" width="37.33203125" style="538" bestFit="1" customWidth="1"/>
    <col min="1027" max="1027" width="37.33203125" style="538" customWidth="1"/>
    <col min="1028" max="1028" width="15.33203125" style="538" bestFit="1" customWidth="1"/>
    <col min="1029" max="1029" width="14.33203125" style="538" bestFit="1" customWidth="1"/>
    <col min="1030" max="1030" width="12.88671875" style="538" bestFit="1" customWidth="1"/>
    <col min="1031" max="1042" width="12.44140625" style="538" bestFit="1" customWidth="1"/>
    <col min="1043" max="1043" width="14.109375" style="538" bestFit="1" customWidth="1"/>
    <col min="1044" max="1279" width="8.88671875" style="538"/>
    <col min="1280" max="1280" width="11.33203125" style="538" bestFit="1" customWidth="1"/>
    <col min="1281" max="1281" width="11.109375" style="538" bestFit="1" customWidth="1"/>
    <col min="1282" max="1282" width="37.33203125" style="538" bestFit="1" customWidth="1"/>
    <col min="1283" max="1283" width="37.33203125" style="538" customWidth="1"/>
    <col min="1284" max="1284" width="15.33203125" style="538" bestFit="1" customWidth="1"/>
    <col min="1285" max="1285" width="14.33203125" style="538" bestFit="1" customWidth="1"/>
    <col min="1286" max="1286" width="12.88671875" style="538" bestFit="1" customWidth="1"/>
    <col min="1287" max="1298" width="12.44140625" style="538" bestFit="1" customWidth="1"/>
    <col min="1299" max="1299" width="14.109375" style="538" bestFit="1" customWidth="1"/>
    <col min="1300" max="1535" width="8.88671875" style="538"/>
    <col min="1536" max="1536" width="11.33203125" style="538" bestFit="1" customWidth="1"/>
    <col min="1537" max="1537" width="11.109375" style="538" bestFit="1" customWidth="1"/>
    <col min="1538" max="1538" width="37.33203125" style="538" bestFit="1" customWidth="1"/>
    <col min="1539" max="1539" width="37.33203125" style="538" customWidth="1"/>
    <col min="1540" max="1540" width="15.33203125" style="538" bestFit="1" customWidth="1"/>
    <col min="1541" max="1541" width="14.33203125" style="538" bestFit="1" customWidth="1"/>
    <col min="1542" max="1542" width="12.88671875" style="538" bestFit="1" customWidth="1"/>
    <col min="1543" max="1554" width="12.44140625" style="538" bestFit="1" customWidth="1"/>
    <col min="1555" max="1555" width="14.109375" style="538" bestFit="1" customWidth="1"/>
    <col min="1556" max="1791" width="8.88671875" style="538"/>
    <col min="1792" max="1792" width="11.33203125" style="538" bestFit="1" customWidth="1"/>
    <col min="1793" max="1793" width="11.109375" style="538" bestFit="1" customWidth="1"/>
    <col min="1794" max="1794" width="37.33203125" style="538" bestFit="1" customWidth="1"/>
    <col min="1795" max="1795" width="37.33203125" style="538" customWidth="1"/>
    <col min="1796" max="1796" width="15.33203125" style="538" bestFit="1" customWidth="1"/>
    <col min="1797" max="1797" width="14.33203125" style="538" bestFit="1" customWidth="1"/>
    <col min="1798" max="1798" width="12.88671875" style="538" bestFit="1" customWidth="1"/>
    <col min="1799" max="1810" width="12.44140625" style="538" bestFit="1" customWidth="1"/>
    <col min="1811" max="1811" width="14.109375" style="538" bestFit="1" customWidth="1"/>
    <col min="1812" max="2047" width="8.88671875" style="538"/>
    <col min="2048" max="2048" width="11.33203125" style="538" bestFit="1" customWidth="1"/>
    <col min="2049" max="2049" width="11.109375" style="538" bestFit="1" customWidth="1"/>
    <col min="2050" max="2050" width="37.33203125" style="538" bestFit="1" customWidth="1"/>
    <col min="2051" max="2051" width="37.33203125" style="538" customWidth="1"/>
    <col min="2052" max="2052" width="15.33203125" style="538" bestFit="1" customWidth="1"/>
    <col min="2053" max="2053" width="14.33203125" style="538" bestFit="1" customWidth="1"/>
    <col min="2054" max="2054" width="12.88671875" style="538" bestFit="1" customWidth="1"/>
    <col min="2055" max="2066" width="12.44140625" style="538" bestFit="1" customWidth="1"/>
    <col min="2067" max="2067" width="14.109375" style="538" bestFit="1" customWidth="1"/>
    <col min="2068" max="2303" width="8.88671875" style="538"/>
    <col min="2304" max="2304" width="11.33203125" style="538" bestFit="1" customWidth="1"/>
    <col min="2305" max="2305" width="11.109375" style="538" bestFit="1" customWidth="1"/>
    <col min="2306" max="2306" width="37.33203125" style="538" bestFit="1" customWidth="1"/>
    <col min="2307" max="2307" width="37.33203125" style="538" customWidth="1"/>
    <col min="2308" max="2308" width="15.33203125" style="538" bestFit="1" customWidth="1"/>
    <col min="2309" max="2309" width="14.33203125" style="538" bestFit="1" customWidth="1"/>
    <col min="2310" max="2310" width="12.88671875" style="538" bestFit="1" customWidth="1"/>
    <col min="2311" max="2322" width="12.44140625" style="538" bestFit="1" customWidth="1"/>
    <col min="2323" max="2323" width="14.109375" style="538" bestFit="1" customWidth="1"/>
    <col min="2324" max="2559" width="8.88671875" style="538"/>
    <col min="2560" max="2560" width="11.33203125" style="538" bestFit="1" customWidth="1"/>
    <col min="2561" max="2561" width="11.109375" style="538" bestFit="1" customWidth="1"/>
    <col min="2562" max="2562" width="37.33203125" style="538" bestFit="1" customWidth="1"/>
    <col min="2563" max="2563" width="37.33203125" style="538" customWidth="1"/>
    <col min="2564" max="2564" width="15.33203125" style="538" bestFit="1" customWidth="1"/>
    <col min="2565" max="2565" width="14.33203125" style="538" bestFit="1" customWidth="1"/>
    <col min="2566" max="2566" width="12.88671875" style="538" bestFit="1" customWidth="1"/>
    <col min="2567" max="2578" width="12.44140625" style="538" bestFit="1" customWidth="1"/>
    <col min="2579" max="2579" width="14.109375" style="538" bestFit="1" customWidth="1"/>
    <col min="2580" max="2815" width="8.88671875" style="538"/>
    <col min="2816" max="2816" width="11.33203125" style="538" bestFit="1" customWidth="1"/>
    <col min="2817" max="2817" width="11.109375" style="538" bestFit="1" customWidth="1"/>
    <col min="2818" max="2818" width="37.33203125" style="538" bestFit="1" customWidth="1"/>
    <col min="2819" max="2819" width="37.33203125" style="538" customWidth="1"/>
    <col min="2820" max="2820" width="15.33203125" style="538" bestFit="1" customWidth="1"/>
    <col min="2821" max="2821" width="14.33203125" style="538" bestFit="1" customWidth="1"/>
    <col min="2822" max="2822" width="12.88671875" style="538" bestFit="1" customWidth="1"/>
    <col min="2823" max="2834" width="12.44140625" style="538" bestFit="1" customWidth="1"/>
    <col min="2835" max="2835" width="14.109375" style="538" bestFit="1" customWidth="1"/>
    <col min="2836" max="3071" width="8.88671875" style="538"/>
    <col min="3072" max="3072" width="11.33203125" style="538" bestFit="1" customWidth="1"/>
    <col min="3073" max="3073" width="11.109375" style="538" bestFit="1" customWidth="1"/>
    <col min="3074" max="3074" width="37.33203125" style="538" bestFit="1" customWidth="1"/>
    <col min="3075" max="3075" width="37.33203125" style="538" customWidth="1"/>
    <col min="3076" max="3076" width="15.33203125" style="538" bestFit="1" customWidth="1"/>
    <col min="3077" max="3077" width="14.33203125" style="538" bestFit="1" customWidth="1"/>
    <col min="3078" max="3078" width="12.88671875" style="538" bestFit="1" customWidth="1"/>
    <col min="3079" max="3090" width="12.44140625" style="538" bestFit="1" customWidth="1"/>
    <col min="3091" max="3091" width="14.109375" style="538" bestFit="1" customWidth="1"/>
    <col min="3092" max="3327" width="8.88671875" style="538"/>
    <col min="3328" max="3328" width="11.33203125" style="538" bestFit="1" customWidth="1"/>
    <col min="3329" max="3329" width="11.109375" style="538" bestFit="1" customWidth="1"/>
    <col min="3330" max="3330" width="37.33203125" style="538" bestFit="1" customWidth="1"/>
    <col min="3331" max="3331" width="37.33203125" style="538" customWidth="1"/>
    <col min="3332" max="3332" width="15.33203125" style="538" bestFit="1" customWidth="1"/>
    <col min="3333" max="3333" width="14.33203125" style="538" bestFit="1" customWidth="1"/>
    <col min="3334" max="3334" width="12.88671875" style="538" bestFit="1" customWidth="1"/>
    <col min="3335" max="3346" width="12.44140625" style="538" bestFit="1" customWidth="1"/>
    <col min="3347" max="3347" width="14.109375" style="538" bestFit="1" customWidth="1"/>
    <col min="3348" max="3583" width="8.88671875" style="538"/>
    <col min="3584" max="3584" width="11.33203125" style="538" bestFit="1" customWidth="1"/>
    <col min="3585" max="3585" width="11.109375" style="538" bestFit="1" customWidth="1"/>
    <col min="3586" max="3586" width="37.33203125" style="538" bestFit="1" customWidth="1"/>
    <col min="3587" max="3587" width="37.33203125" style="538" customWidth="1"/>
    <col min="3588" max="3588" width="15.33203125" style="538" bestFit="1" customWidth="1"/>
    <col min="3589" max="3589" width="14.33203125" style="538" bestFit="1" customWidth="1"/>
    <col min="3590" max="3590" width="12.88671875" style="538" bestFit="1" customWidth="1"/>
    <col min="3591" max="3602" width="12.44140625" style="538" bestFit="1" customWidth="1"/>
    <col min="3603" max="3603" width="14.109375" style="538" bestFit="1" customWidth="1"/>
    <col min="3604" max="3839" width="8.88671875" style="538"/>
    <col min="3840" max="3840" width="11.33203125" style="538" bestFit="1" customWidth="1"/>
    <col min="3841" max="3841" width="11.109375" style="538" bestFit="1" customWidth="1"/>
    <col min="3842" max="3842" width="37.33203125" style="538" bestFit="1" customWidth="1"/>
    <col min="3843" max="3843" width="37.33203125" style="538" customWidth="1"/>
    <col min="3844" max="3844" width="15.33203125" style="538" bestFit="1" customWidth="1"/>
    <col min="3845" max="3845" width="14.33203125" style="538" bestFit="1" customWidth="1"/>
    <col min="3846" max="3846" width="12.88671875" style="538" bestFit="1" customWidth="1"/>
    <col min="3847" max="3858" width="12.44140625" style="538" bestFit="1" customWidth="1"/>
    <col min="3859" max="3859" width="14.109375" style="538" bestFit="1" customWidth="1"/>
    <col min="3860" max="4095" width="8.88671875" style="538"/>
    <col min="4096" max="4096" width="11.33203125" style="538" bestFit="1" customWidth="1"/>
    <col min="4097" max="4097" width="11.109375" style="538" bestFit="1" customWidth="1"/>
    <col min="4098" max="4098" width="37.33203125" style="538" bestFit="1" customWidth="1"/>
    <col min="4099" max="4099" width="37.33203125" style="538" customWidth="1"/>
    <col min="4100" max="4100" width="15.33203125" style="538" bestFit="1" customWidth="1"/>
    <col min="4101" max="4101" width="14.33203125" style="538" bestFit="1" customWidth="1"/>
    <col min="4102" max="4102" width="12.88671875" style="538" bestFit="1" customWidth="1"/>
    <col min="4103" max="4114" width="12.44140625" style="538" bestFit="1" customWidth="1"/>
    <col min="4115" max="4115" width="14.109375" style="538" bestFit="1" customWidth="1"/>
    <col min="4116" max="4351" width="8.88671875" style="538"/>
    <col min="4352" max="4352" width="11.33203125" style="538" bestFit="1" customWidth="1"/>
    <col min="4353" max="4353" width="11.109375" style="538" bestFit="1" customWidth="1"/>
    <col min="4354" max="4354" width="37.33203125" style="538" bestFit="1" customWidth="1"/>
    <col min="4355" max="4355" width="37.33203125" style="538" customWidth="1"/>
    <col min="4356" max="4356" width="15.33203125" style="538" bestFit="1" customWidth="1"/>
    <col min="4357" max="4357" width="14.33203125" style="538" bestFit="1" customWidth="1"/>
    <col min="4358" max="4358" width="12.88671875" style="538" bestFit="1" customWidth="1"/>
    <col min="4359" max="4370" width="12.44140625" style="538" bestFit="1" customWidth="1"/>
    <col min="4371" max="4371" width="14.109375" style="538" bestFit="1" customWidth="1"/>
    <col min="4372" max="4607" width="8.88671875" style="538"/>
    <col min="4608" max="4608" width="11.33203125" style="538" bestFit="1" customWidth="1"/>
    <col min="4609" max="4609" width="11.109375" style="538" bestFit="1" customWidth="1"/>
    <col min="4610" max="4610" width="37.33203125" style="538" bestFit="1" customWidth="1"/>
    <col min="4611" max="4611" width="37.33203125" style="538" customWidth="1"/>
    <col min="4612" max="4612" width="15.33203125" style="538" bestFit="1" customWidth="1"/>
    <col min="4613" max="4613" width="14.33203125" style="538" bestFit="1" customWidth="1"/>
    <col min="4614" max="4614" width="12.88671875" style="538" bestFit="1" customWidth="1"/>
    <col min="4615" max="4626" width="12.44140625" style="538" bestFit="1" customWidth="1"/>
    <col min="4627" max="4627" width="14.109375" style="538" bestFit="1" customWidth="1"/>
    <col min="4628" max="4863" width="8.88671875" style="538"/>
    <col min="4864" max="4864" width="11.33203125" style="538" bestFit="1" customWidth="1"/>
    <col min="4865" max="4865" width="11.109375" style="538" bestFit="1" customWidth="1"/>
    <col min="4866" max="4866" width="37.33203125" style="538" bestFit="1" customWidth="1"/>
    <col min="4867" max="4867" width="37.33203125" style="538" customWidth="1"/>
    <col min="4868" max="4868" width="15.33203125" style="538" bestFit="1" customWidth="1"/>
    <col min="4869" max="4869" width="14.33203125" style="538" bestFit="1" customWidth="1"/>
    <col min="4870" max="4870" width="12.88671875" style="538" bestFit="1" customWidth="1"/>
    <col min="4871" max="4882" width="12.44140625" style="538" bestFit="1" customWidth="1"/>
    <col min="4883" max="4883" width="14.109375" style="538" bestFit="1" customWidth="1"/>
    <col min="4884" max="5119" width="8.88671875" style="538"/>
    <col min="5120" max="5120" width="11.33203125" style="538" bestFit="1" customWidth="1"/>
    <col min="5121" max="5121" width="11.109375" style="538" bestFit="1" customWidth="1"/>
    <col min="5122" max="5122" width="37.33203125" style="538" bestFit="1" customWidth="1"/>
    <col min="5123" max="5123" width="37.33203125" style="538" customWidth="1"/>
    <col min="5124" max="5124" width="15.33203125" style="538" bestFit="1" customWidth="1"/>
    <col min="5125" max="5125" width="14.33203125" style="538" bestFit="1" customWidth="1"/>
    <col min="5126" max="5126" width="12.88671875" style="538" bestFit="1" customWidth="1"/>
    <col min="5127" max="5138" width="12.44140625" style="538" bestFit="1" customWidth="1"/>
    <col min="5139" max="5139" width="14.109375" style="538" bestFit="1" customWidth="1"/>
    <col min="5140" max="5375" width="8.88671875" style="538"/>
    <col min="5376" max="5376" width="11.33203125" style="538" bestFit="1" customWidth="1"/>
    <col min="5377" max="5377" width="11.109375" style="538" bestFit="1" customWidth="1"/>
    <col min="5378" max="5378" width="37.33203125" style="538" bestFit="1" customWidth="1"/>
    <col min="5379" max="5379" width="37.33203125" style="538" customWidth="1"/>
    <col min="5380" max="5380" width="15.33203125" style="538" bestFit="1" customWidth="1"/>
    <col min="5381" max="5381" width="14.33203125" style="538" bestFit="1" customWidth="1"/>
    <col min="5382" max="5382" width="12.88671875" style="538" bestFit="1" customWidth="1"/>
    <col min="5383" max="5394" width="12.44140625" style="538" bestFit="1" customWidth="1"/>
    <col min="5395" max="5395" width="14.109375" style="538" bestFit="1" customWidth="1"/>
    <col min="5396" max="5631" width="8.88671875" style="538"/>
    <col min="5632" max="5632" width="11.33203125" style="538" bestFit="1" customWidth="1"/>
    <col min="5633" max="5633" width="11.109375" style="538" bestFit="1" customWidth="1"/>
    <col min="5634" max="5634" width="37.33203125" style="538" bestFit="1" customWidth="1"/>
    <col min="5635" max="5635" width="37.33203125" style="538" customWidth="1"/>
    <col min="5636" max="5636" width="15.33203125" style="538" bestFit="1" customWidth="1"/>
    <col min="5637" max="5637" width="14.33203125" style="538" bestFit="1" customWidth="1"/>
    <col min="5638" max="5638" width="12.88671875" style="538" bestFit="1" customWidth="1"/>
    <col min="5639" max="5650" width="12.44140625" style="538" bestFit="1" customWidth="1"/>
    <col min="5651" max="5651" width="14.109375" style="538" bestFit="1" customWidth="1"/>
    <col min="5652" max="5887" width="8.88671875" style="538"/>
    <col min="5888" max="5888" width="11.33203125" style="538" bestFit="1" customWidth="1"/>
    <col min="5889" max="5889" width="11.109375" style="538" bestFit="1" customWidth="1"/>
    <col min="5890" max="5890" width="37.33203125" style="538" bestFit="1" customWidth="1"/>
    <col min="5891" max="5891" width="37.33203125" style="538" customWidth="1"/>
    <col min="5892" max="5892" width="15.33203125" style="538" bestFit="1" customWidth="1"/>
    <col min="5893" max="5893" width="14.33203125" style="538" bestFit="1" customWidth="1"/>
    <col min="5894" max="5894" width="12.88671875" style="538" bestFit="1" customWidth="1"/>
    <col min="5895" max="5906" width="12.44140625" style="538" bestFit="1" customWidth="1"/>
    <col min="5907" max="5907" width="14.109375" style="538" bestFit="1" customWidth="1"/>
    <col min="5908" max="6143" width="8.88671875" style="538"/>
    <col min="6144" max="6144" width="11.33203125" style="538" bestFit="1" customWidth="1"/>
    <col min="6145" max="6145" width="11.109375" style="538" bestFit="1" customWidth="1"/>
    <col min="6146" max="6146" width="37.33203125" style="538" bestFit="1" customWidth="1"/>
    <col min="6147" max="6147" width="37.33203125" style="538" customWidth="1"/>
    <col min="6148" max="6148" width="15.33203125" style="538" bestFit="1" customWidth="1"/>
    <col min="6149" max="6149" width="14.33203125" style="538" bestFit="1" customWidth="1"/>
    <col min="6150" max="6150" width="12.88671875" style="538" bestFit="1" customWidth="1"/>
    <col min="6151" max="6162" width="12.44140625" style="538" bestFit="1" customWidth="1"/>
    <col min="6163" max="6163" width="14.109375" style="538" bestFit="1" customWidth="1"/>
    <col min="6164" max="6399" width="8.88671875" style="538"/>
    <col min="6400" max="6400" width="11.33203125" style="538" bestFit="1" customWidth="1"/>
    <col min="6401" max="6401" width="11.109375" style="538" bestFit="1" customWidth="1"/>
    <col min="6402" max="6402" width="37.33203125" style="538" bestFit="1" customWidth="1"/>
    <col min="6403" max="6403" width="37.33203125" style="538" customWidth="1"/>
    <col min="6404" max="6404" width="15.33203125" style="538" bestFit="1" customWidth="1"/>
    <col min="6405" max="6405" width="14.33203125" style="538" bestFit="1" customWidth="1"/>
    <col min="6406" max="6406" width="12.88671875" style="538" bestFit="1" customWidth="1"/>
    <col min="6407" max="6418" width="12.44140625" style="538" bestFit="1" customWidth="1"/>
    <col min="6419" max="6419" width="14.109375" style="538" bestFit="1" customWidth="1"/>
    <col min="6420" max="6655" width="8.88671875" style="538"/>
    <col min="6656" max="6656" width="11.33203125" style="538" bestFit="1" customWidth="1"/>
    <col min="6657" max="6657" width="11.109375" style="538" bestFit="1" customWidth="1"/>
    <col min="6658" max="6658" width="37.33203125" style="538" bestFit="1" customWidth="1"/>
    <col min="6659" max="6659" width="37.33203125" style="538" customWidth="1"/>
    <col min="6660" max="6660" width="15.33203125" style="538" bestFit="1" customWidth="1"/>
    <col min="6661" max="6661" width="14.33203125" style="538" bestFit="1" customWidth="1"/>
    <col min="6662" max="6662" width="12.88671875" style="538" bestFit="1" customWidth="1"/>
    <col min="6663" max="6674" width="12.44140625" style="538" bestFit="1" customWidth="1"/>
    <col min="6675" max="6675" width="14.109375" style="538" bestFit="1" customWidth="1"/>
    <col min="6676" max="6911" width="8.88671875" style="538"/>
    <col min="6912" max="6912" width="11.33203125" style="538" bestFit="1" customWidth="1"/>
    <col min="6913" max="6913" width="11.109375" style="538" bestFit="1" customWidth="1"/>
    <col min="6914" max="6914" width="37.33203125" style="538" bestFit="1" customWidth="1"/>
    <col min="6915" max="6915" width="37.33203125" style="538" customWidth="1"/>
    <col min="6916" max="6916" width="15.33203125" style="538" bestFit="1" customWidth="1"/>
    <col min="6917" max="6917" width="14.33203125" style="538" bestFit="1" customWidth="1"/>
    <col min="6918" max="6918" width="12.88671875" style="538" bestFit="1" customWidth="1"/>
    <col min="6919" max="6930" width="12.44140625" style="538" bestFit="1" customWidth="1"/>
    <col min="6931" max="6931" width="14.109375" style="538" bestFit="1" customWidth="1"/>
    <col min="6932" max="7167" width="8.88671875" style="538"/>
    <col min="7168" max="7168" width="11.33203125" style="538" bestFit="1" customWidth="1"/>
    <col min="7169" max="7169" width="11.109375" style="538" bestFit="1" customWidth="1"/>
    <col min="7170" max="7170" width="37.33203125" style="538" bestFit="1" customWidth="1"/>
    <col min="7171" max="7171" width="37.33203125" style="538" customWidth="1"/>
    <col min="7172" max="7172" width="15.33203125" style="538" bestFit="1" customWidth="1"/>
    <col min="7173" max="7173" width="14.33203125" style="538" bestFit="1" customWidth="1"/>
    <col min="7174" max="7174" width="12.88671875" style="538" bestFit="1" customWidth="1"/>
    <col min="7175" max="7186" width="12.44140625" style="538" bestFit="1" customWidth="1"/>
    <col min="7187" max="7187" width="14.109375" style="538" bestFit="1" customWidth="1"/>
    <col min="7188" max="7423" width="8.88671875" style="538"/>
    <col min="7424" max="7424" width="11.33203125" style="538" bestFit="1" customWidth="1"/>
    <col min="7425" max="7425" width="11.109375" style="538" bestFit="1" customWidth="1"/>
    <col min="7426" max="7426" width="37.33203125" style="538" bestFit="1" customWidth="1"/>
    <col min="7427" max="7427" width="37.33203125" style="538" customWidth="1"/>
    <col min="7428" max="7428" width="15.33203125" style="538" bestFit="1" customWidth="1"/>
    <col min="7429" max="7429" width="14.33203125" style="538" bestFit="1" customWidth="1"/>
    <col min="7430" max="7430" width="12.88671875" style="538" bestFit="1" customWidth="1"/>
    <col min="7431" max="7442" width="12.44140625" style="538" bestFit="1" customWidth="1"/>
    <col min="7443" max="7443" width="14.109375" style="538" bestFit="1" customWidth="1"/>
    <col min="7444" max="7679" width="8.88671875" style="538"/>
    <col min="7680" max="7680" width="11.33203125" style="538" bestFit="1" customWidth="1"/>
    <col min="7681" max="7681" width="11.109375" style="538" bestFit="1" customWidth="1"/>
    <col min="7682" max="7682" width="37.33203125" style="538" bestFit="1" customWidth="1"/>
    <col min="7683" max="7683" width="37.33203125" style="538" customWidth="1"/>
    <col min="7684" max="7684" width="15.33203125" style="538" bestFit="1" customWidth="1"/>
    <col min="7685" max="7685" width="14.33203125" style="538" bestFit="1" customWidth="1"/>
    <col min="7686" max="7686" width="12.88671875" style="538" bestFit="1" customWidth="1"/>
    <col min="7687" max="7698" width="12.44140625" style="538" bestFit="1" customWidth="1"/>
    <col min="7699" max="7699" width="14.109375" style="538" bestFit="1" customWidth="1"/>
    <col min="7700" max="7935" width="8.88671875" style="538"/>
    <col min="7936" max="7936" width="11.33203125" style="538" bestFit="1" customWidth="1"/>
    <col min="7937" max="7937" width="11.109375" style="538" bestFit="1" customWidth="1"/>
    <col min="7938" max="7938" width="37.33203125" style="538" bestFit="1" customWidth="1"/>
    <col min="7939" max="7939" width="37.33203125" style="538" customWidth="1"/>
    <col min="7940" max="7940" width="15.33203125" style="538" bestFit="1" customWidth="1"/>
    <col min="7941" max="7941" width="14.33203125" style="538" bestFit="1" customWidth="1"/>
    <col min="7942" max="7942" width="12.88671875" style="538" bestFit="1" customWidth="1"/>
    <col min="7943" max="7954" width="12.44140625" style="538" bestFit="1" customWidth="1"/>
    <col min="7955" max="7955" width="14.109375" style="538" bestFit="1" customWidth="1"/>
    <col min="7956" max="8191" width="8.88671875" style="538"/>
    <col min="8192" max="8192" width="11.33203125" style="538" bestFit="1" customWidth="1"/>
    <col min="8193" max="8193" width="11.109375" style="538" bestFit="1" customWidth="1"/>
    <col min="8194" max="8194" width="37.33203125" style="538" bestFit="1" customWidth="1"/>
    <col min="8195" max="8195" width="37.33203125" style="538" customWidth="1"/>
    <col min="8196" max="8196" width="15.33203125" style="538" bestFit="1" customWidth="1"/>
    <col min="8197" max="8197" width="14.33203125" style="538" bestFit="1" customWidth="1"/>
    <col min="8198" max="8198" width="12.88671875" style="538" bestFit="1" customWidth="1"/>
    <col min="8199" max="8210" width="12.44140625" style="538" bestFit="1" customWidth="1"/>
    <col min="8211" max="8211" width="14.109375" style="538" bestFit="1" customWidth="1"/>
    <col min="8212" max="8447" width="8.88671875" style="538"/>
    <col min="8448" max="8448" width="11.33203125" style="538" bestFit="1" customWidth="1"/>
    <col min="8449" max="8449" width="11.109375" style="538" bestFit="1" customWidth="1"/>
    <col min="8450" max="8450" width="37.33203125" style="538" bestFit="1" customWidth="1"/>
    <col min="8451" max="8451" width="37.33203125" style="538" customWidth="1"/>
    <col min="8452" max="8452" width="15.33203125" style="538" bestFit="1" customWidth="1"/>
    <col min="8453" max="8453" width="14.33203125" style="538" bestFit="1" customWidth="1"/>
    <col min="8454" max="8454" width="12.88671875" style="538" bestFit="1" customWidth="1"/>
    <col min="8455" max="8466" width="12.44140625" style="538" bestFit="1" customWidth="1"/>
    <col min="8467" max="8467" width="14.109375" style="538" bestFit="1" customWidth="1"/>
    <col min="8468" max="8703" width="8.88671875" style="538"/>
    <col min="8704" max="8704" width="11.33203125" style="538" bestFit="1" customWidth="1"/>
    <col min="8705" max="8705" width="11.109375" style="538" bestFit="1" customWidth="1"/>
    <col min="8706" max="8706" width="37.33203125" style="538" bestFit="1" customWidth="1"/>
    <col min="8707" max="8707" width="37.33203125" style="538" customWidth="1"/>
    <col min="8708" max="8708" width="15.33203125" style="538" bestFit="1" customWidth="1"/>
    <col min="8709" max="8709" width="14.33203125" style="538" bestFit="1" customWidth="1"/>
    <col min="8710" max="8710" width="12.88671875" style="538" bestFit="1" customWidth="1"/>
    <col min="8711" max="8722" width="12.44140625" style="538" bestFit="1" customWidth="1"/>
    <col min="8723" max="8723" width="14.109375" style="538" bestFit="1" customWidth="1"/>
    <col min="8724" max="8959" width="8.88671875" style="538"/>
    <col min="8960" max="8960" width="11.33203125" style="538" bestFit="1" customWidth="1"/>
    <col min="8961" max="8961" width="11.109375" style="538" bestFit="1" customWidth="1"/>
    <col min="8962" max="8962" width="37.33203125" style="538" bestFit="1" customWidth="1"/>
    <col min="8963" max="8963" width="37.33203125" style="538" customWidth="1"/>
    <col min="8964" max="8964" width="15.33203125" style="538" bestFit="1" customWidth="1"/>
    <col min="8965" max="8965" width="14.33203125" style="538" bestFit="1" customWidth="1"/>
    <col min="8966" max="8966" width="12.88671875" style="538" bestFit="1" customWidth="1"/>
    <col min="8967" max="8978" width="12.44140625" style="538" bestFit="1" customWidth="1"/>
    <col min="8979" max="8979" width="14.109375" style="538" bestFit="1" customWidth="1"/>
    <col min="8980" max="9215" width="8.88671875" style="538"/>
    <col min="9216" max="9216" width="11.33203125" style="538" bestFit="1" customWidth="1"/>
    <col min="9217" max="9217" width="11.109375" style="538" bestFit="1" customWidth="1"/>
    <col min="9218" max="9218" width="37.33203125" style="538" bestFit="1" customWidth="1"/>
    <col min="9219" max="9219" width="37.33203125" style="538" customWidth="1"/>
    <col min="9220" max="9220" width="15.33203125" style="538" bestFit="1" customWidth="1"/>
    <col min="9221" max="9221" width="14.33203125" style="538" bestFit="1" customWidth="1"/>
    <col min="9222" max="9222" width="12.88671875" style="538" bestFit="1" customWidth="1"/>
    <col min="9223" max="9234" width="12.44140625" style="538" bestFit="1" customWidth="1"/>
    <col min="9235" max="9235" width="14.109375" style="538" bestFit="1" customWidth="1"/>
    <col min="9236" max="9471" width="8.88671875" style="538"/>
    <col min="9472" max="9472" width="11.33203125" style="538" bestFit="1" customWidth="1"/>
    <col min="9473" max="9473" width="11.109375" style="538" bestFit="1" customWidth="1"/>
    <col min="9474" max="9474" width="37.33203125" style="538" bestFit="1" customWidth="1"/>
    <col min="9475" max="9475" width="37.33203125" style="538" customWidth="1"/>
    <col min="9476" max="9476" width="15.33203125" style="538" bestFit="1" customWidth="1"/>
    <col min="9477" max="9477" width="14.33203125" style="538" bestFit="1" customWidth="1"/>
    <col min="9478" max="9478" width="12.88671875" style="538" bestFit="1" customWidth="1"/>
    <col min="9479" max="9490" width="12.44140625" style="538" bestFit="1" customWidth="1"/>
    <col min="9491" max="9491" width="14.109375" style="538" bestFit="1" customWidth="1"/>
    <col min="9492" max="9727" width="8.88671875" style="538"/>
    <col min="9728" max="9728" width="11.33203125" style="538" bestFit="1" customWidth="1"/>
    <col min="9729" max="9729" width="11.109375" style="538" bestFit="1" customWidth="1"/>
    <col min="9730" max="9730" width="37.33203125" style="538" bestFit="1" customWidth="1"/>
    <col min="9731" max="9731" width="37.33203125" style="538" customWidth="1"/>
    <col min="9732" max="9732" width="15.33203125" style="538" bestFit="1" customWidth="1"/>
    <col min="9733" max="9733" width="14.33203125" style="538" bestFit="1" customWidth="1"/>
    <col min="9734" max="9734" width="12.88671875" style="538" bestFit="1" customWidth="1"/>
    <col min="9735" max="9746" width="12.44140625" style="538" bestFit="1" customWidth="1"/>
    <col min="9747" max="9747" width="14.109375" style="538" bestFit="1" customWidth="1"/>
    <col min="9748" max="9983" width="8.88671875" style="538"/>
    <col min="9984" max="9984" width="11.33203125" style="538" bestFit="1" customWidth="1"/>
    <col min="9985" max="9985" width="11.109375" style="538" bestFit="1" customWidth="1"/>
    <col min="9986" max="9986" width="37.33203125" style="538" bestFit="1" customWidth="1"/>
    <col min="9987" max="9987" width="37.33203125" style="538" customWidth="1"/>
    <col min="9988" max="9988" width="15.33203125" style="538" bestFit="1" customWidth="1"/>
    <col min="9989" max="9989" width="14.33203125" style="538" bestFit="1" customWidth="1"/>
    <col min="9990" max="9990" width="12.88671875" style="538" bestFit="1" customWidth="1"/>
    <col min="9991" max="10002" width="12.44140625" style="538" bestFit="1" customWidth="1"/>
    <col min="10003" max="10003" width="14.109375" style="538" bestFit="1" customWidth="1"/>
    <col min="10004" max="10239" width="8.88671875" style="538"/>
    <col min="10240" max="10240" width="11.33203125" style="538" bestFit="1" customWidth="1"/>
    <col min="10241" max="10241" width="11.109375" style="538" bestFit="1" customWidth="1"/>
    <col min="10242" max="10242" width="37.33203125" style="538" bestFit="1" customWidth="1"/>
    <col min="10243" max="10243" width="37.33203125" style="538" customWidth="1"/>
    <col min="10244" max="10244" width="15.33203125" style="538" bestFit="1" customWidth="1"/>
    <col min="10245" max="10245" width="14.33203125" style="538" bestFit="1" customWidth="1"/>
    <col min="10246" max="10246" width="12.88671875" style="538" bestFit="1" customWidth="1"/>
    <col min="10247" max="10258" width="12.44140625" style="538" bestFit="1" customWidth="1"/>
    <col min="10259" max="10259" width="14.109375" style="538" bestFit="1" customWidth="1"/>
    <col min="10260" max="10495" width="8.88671875" style="538"/>
    <col min="10496" max="10496" width="11.33203125" style="538" bestFit="1" customWidth="1"/>
    <col min="10497" max="10497" width="11.109375" style="538" bestFit="1" customWidth="1"/>
    <col min="10498" max="10498" width="37.33203125" style="538" bestFit="1" customWidth="1"/>
    <col min="10499" max="10499" width="37.33203125" style="538" customWidth="1"/>
    <col min="10500" max="10500" width="15.33203125" style="538" bestFit="1" customWidth="1"/>
    <col min="10501" max="10501" width="14.33203125" style="538" bestFit="1" customWidth="1"/>
    <col min="10502" max="10502" width="12.88671875" style="538" bestFit="1" customWidth="1"/>
    <col min="10503" max="10514" width="12.44140625" style="538" bestFit="1" customWidth="1"/>
    <col min="10515" max="10515" width="14.109375" style="538" bestFit="1" customWidth="1"/>
    <col min="10516" max="10751" width="8.88671875" style="538"/>
    <col min="10752" max="10752" width="11.33203125" style="538" bestFit="1" customWidth="1"/>
    <col min="10753" max="10753" width="11.109375" style="538" bestFit="1" customWidth="1"/>
    <col min="10754" max="10754" width="37.33203125" style="538" bestFit="1" customWidth="1"/>
    <col min="10755" max="10755" width="37.33203125" style="538" customWidth="1"/>
    <col min="10756" max="10756" width="15.33203125" style="538" bestFit="1" customWidth="1"/>
    <col min="10757" max="10757" width="14.33203125" style="538" bestFit="1" customWidth="1"/>
    <col min="10758" max="10758" width="12.88671875" style="538" bestFit="1" customWidth="1"/>
    <col min="10759" max="10770" width="12.44140625" style="538" bestFit="1" customWidth="1"/>
    <col min="10771" max="10771" width="14.109375" style="538" bestFit="1" customWidth="1"/>
    <col min="10772" max="11007" width="8.88671875" style="538"/>
    <col min="11008" max="11008" width="11.33203125" style="538" bestFit="1" customWidth="1"/>
    <col min="11009" max="11009" width="11.109375" style="538" bestFit="1" customWidth="1"/>
    <col min="11010" max="11010" width="37.33203125" style="538" bestFit="1" customWidth="1"/>
    <col min="11011" max="11011" width="37.33203125" style="538" customWidth="1"/>
    <col min="11012" max="11012" width="15.33203125" style="538" bestFit="1" customWidth="1"/>
    <col min="11013" max="11013" width="14.33203125" style="538" bestFit="1" customWidth="1"/>
    <col min="11014" max="11014" width="12.88671875" style="538" bestFit="1" customWidth="1"/>
    <col min="11015" max="11026" width="12.44140625" style="538" bestFit="1" customWidth="1"/>
    <col min="11027" max="11027" width="14.109375" style="538" bestFit="1" customWidth="1"/>
    <col min="11028" max="11263" width="8.88671875" style="538"/>
    <col min="11264" max="11264" width="11.33203125" style="538" bestFit="1" customWidth="1"/>
    <col min="11265" max="11265" width="11.109375" style="538" bestFit="1" customWidth="1"/>
    <col min="11266" max="11266" width="37.33203125" style="538" bestFit="1" customWidth="1"/>
    <col min="11267" max="11267" width="37.33203125" style="538" customWidth="1"/>
    <col min="11268" max="11268" width="15.33203125" style="538" bestFit="1" customWidth="1"/>
    <col min="11269" max="11269" width="14.33203125" style="538" bestFit="1" customWidth="1"/>
    <col min="11270" max="11270" width="12.88671875" style="538" bestFit="1" customWidth="1"/>
    <col min="11271" max="11282" width="12.44140625" style="538" bestFit="1" customWidth="1"/>
    <col min="11283" max="11283" width="14.109375" style="538" bestFit="1" customWidth="1"/>
    <col min="11284" max="11519" width="8.88671875" style="538"/>
    <col min="11520" max="11520" width="11.33203125" style="538" bestFit="1" customWidth="1"/>
    <col min="11521" max="11521" width="11.109375" style="538" bestFit="1" customWidth="1"/>
    <col min="11522" max="11522" width="37.33203125" style="538" bestFit="1" customWidth="1"/>
    <col min="11523" max="11523" width="37.33203125" style="538" customWidth="1"/>
    <col min="11524" max="11524" width="15.33203125" style="538" bestFit="1" customWidth="1"/>
    <col min="11525" max="11525" width="14.33203125" style="538" bestFit="1" customWidth="1"/>
    <col min="11526" max="11526" width="12.88671875" style="538" bestFit="1" customWidth="1"/>
    <col min="11527" max="11538" width="12.44140625" style="538" bestFit="1" customWidth="1"/>
    <col min="11539" max="11539" width="14.109375" style="538" bestFit="1" customWidth="1"/>
    <col min="11540" max="11775" width="8.88671875" style="538"/>
    <col min="11776" max="11776" width="11.33203125" style="538" bestFit="1" customWidth="1"/>
    <col min="11777" max="11777" width="11.109375" style="538" bestFit="1" customWidth="1"/>
    <col min="11778" max="11778" width="37.33203125" style="538" bestFit="1" customWidth="1"/>
    <col min="11779" max="11779" width="37.33203125" style="538" customWidth="1"/>
    <col min="11780" max="11780" width="15.33203125" style="538" bestFit="1" customWidth="1"/>
    <col min="11781" max="11781" width="14.33203125" style="538" bestFit="1" customWidth="1"/>
    <col min="11782" max="11782" width="12.88671875" style="538" bestFit="1" customWidth="1"/>
    <col min="11783" max="11794" width="12.44140625" style="538" bestFit="1" customWidth="1"/>
    <col min="11795" max="11795" width="14.109375" style="538" bestFit="1" customWidth="1"/>
    <col min="11796" max="12031" width="8.88671875" style="538"/>
    <col min="12032" max="12032" width="11.33203125" style="538" bestFit="1" customWidth="1"/>
    <col min="12033" max="12033" width="11.109375" style="538" bestFit="1" customWidth="1"/>
    <col min="12034" max="12034" width="37.33203125" style="538" bestFit="1" customWidth="1"/>
    <col min="12035" max="12035" width="37.33203125" style="538" customWidth="1"/>
    <col min="12036" max="12036" width="15.33203125" style="538" bestFit="1" customWidth="1"/>
    <col min="12037" max="12037" width="14.33203125" style="538" bestFit="1" customWidth="1"/>
    <col min="12038" max="12038" width="12.88671875" style="538" bestFit="1" customWidth="1"/>
    <col min="12039" max="12050" width="12.44140625" style="538" bestFit="1" customWidth="1"/>
    <col min="12051" max="12051" width="14.109375" style="538" bestFit="1" customWidth="1"/>
    <col min="12052" max="12287" width="8.88671875" style="538"/>
    <col min="12288" max="12288" width="11.33203125" style="538" bestFit="1" customWidth="1"/>
    <col min="12289" max="12289" width="11.109375" style="538" bestFit="1" customWidth="1"/>
    <col min="12290" max="12290" width="37.33203125" style="538" bestFit="1" customWidth="1"/>
    <col min="12291" max="12291" width="37.33203125" style="538" customWidth="1"/>
    <col min="12292" max="12292" width="15.33203125" style="538" bestFit="1" customWidth="1"/>
    <col min="12293" max="12293" width="14.33203125" style="538" bestFit="1" customWidth="1"/>
    <col min="12294" max="12294" width="12.88671875" style="538" bestFit="1" customWidth="1"/>
    <col min="12295" max="12306" width="12.44140625" style="538" bestFit="1" customWidth="1"/>
    <col min="12307" max="12307" width="14.109375" style="538" bestFit="1" customWidth="1"/>
    <col min="12308" max="12543" width="8.88671875" style="538"/>
    <col min="12544" max="12544" width="11.33203125" style="538" bestFit="1" customWidth="1"/>
    <col min="12545" max="12545" width="11.109375" style="538" bestFit="1" customWidth="1"/>
    <col min="12546" max="12546" width="37.33203125" style="538" bestFit="1" customWidth="1"/>
    <col min="12547" max="12547" width="37.33203125" style="538" customWidth="1"/>
    <col min="12548" max="12548" width="15.33203125" style="538" bestFit="1" customWidth="1"/>
    <col min="12549" max="12549" width="14.33203125" style="538" bestFit="1" customWidth="1"/>
    <col min="12550" max="12550" width="12.88671875" style="538" bestFit="1" customWidth="1"/>
    <col min="12551" max="12562" width="12.44140625" style="538" bestFit="1" customWidth="1"/>
    <col min="12563" max="12563" width="14.109375" style="538" bestFit="1" customWidth="1"/>
    <col min="12564" max="12799" width="8.88671875" style="538"/>
    <col min="12800" max="12800" width="11.33203125" style="538" bestFit="1" customWidth="1"/>
    <col min="12801" max="12801" width="11.109375" style="538" bestFit="1" customWidth="1"/>
    <col min="12802" max="12802" width="37.33203125" style="538" bestFit="1" customWidth="1"/>
    <col min="12803" max="12803" width="37.33203125" style="538" customWidth="1"/>
    <col min="12804" max="12804" width="15.33203125" style="538" bestFit="1" customWidth="1"/>
    <col min="12805" max="12805" width="14.33203125" style="538" bestFit="1" customWidth="1"/>
    <col min="12806" max="12806" width="12.88671875" style="538" bestFit="1" customWidth="1"/>
    <col min="12807" max="12818" width="12.44140625" style="538" bestFit="1" customWidth="1"/>
    <col min="12819" max="12819" width="14.109375" style="538" bestFit="1" customWidth="1"/>
    <col min="12820" max="13055" width="8.88671875" style="538"/>
    <col min="13056" max="13056" width="11.33203125" style="538" bestFit="1" customWidth="1"/>
    <col min="13057" max="13057" width="11.109375" style="538" bestFit="1" customWidth="1"/>
    <col min="13058" max="13058" width="37.33203125" style="538" bestFit="1" customWidth="1"/>
    <col min="13059" max="13059" width="37.33203125" style="538" customWidth="1"/>
    <col min="13060" max="13060" width="15.33203125" style="538" bestFit="1" customWidth="1"/>
    <col min="13061" max="13061" width="14.33203125" style="538" bestFit="1" customWidth="1"/>
    <col min="13062" max="13062" width="12.88671875" style="538" bestFit="1" customWidth="1"/>
    <col min="13063" max="13074" width="12.44140625" style="538" bestFit="1" customWidth="1"/>
    <col min="13075" max="13075" width="14.109375" style="538" bestFit="1" customWidth="1"/>
    <col min="13076" max="13311" width="8.88671875" style="538"/>
    <col min="13312" max="13312" width="11.33203125" style="538" bestFit="1" customWidth="1"/>
    <col min="13313" max="13313" width="11.109375" style="538" bestFit="1" customWidth="1"/>
    <col min="13314" max="13314" width="37.33203125" style="538" bestFit="1" customWidth="1"/>
    <col min="13315" max="13315" width="37.33203125" style="538" customWidth="1"/>
    <col min="13316" max="13316" width="15.33203125" style="538" bestFit="1" customWidth="1"/>
    <col min="13317" max="13317" width="14.33203125" style="538" bestFit="1" customWidth="1"/>
    <col min="13318" max="13318" width="12.88671875" style="538" bestFit="1" customWidth="1"/>
    <col min="13319" max="13330" width="12.44140625" style="538" bestFit="1" customWidth="1"/>
    <col min="13331" max="13331" width="14.109375" style="538" bestFit="1" customWidth="1"/>
    <col min="13332" max="13567" width="8.88671875" style="538"/>
    <col min="13568" max="13568" width="11.33203125" style="538" bestFit="1" customWidth="1"/>
    <col min="13569" max="13569" width="11.109375" style="538" bestFit="1" customWidth="1"/>
    <col min="13570" max="13570" width="37.33203125" style="538" bestFit="1" customWidth="1"/>
    <col min="13571" max="13571" width="37.33203125" style="538" customWidth="1"/>
    <col min="13572" max="13572" width="15.33203125" style="538" bestFit="1" customWidth="1"/>
    <col min="13573" max="13573" width="14.33203125" style="538" bestFit="1" customWidth="1"/>
    <col min="13574" max="13574" width="12.88671875" style="538" bestFit="1" customWidth="1"/>
    <col min="13575" max="13586" width="12.44140625" style="538" bestFit="1" customWidth="1"/>
    <col min="13587" max="13587" width="14.109375" style="538" bestFit="1" customWidth="1"/>
    <col min="13588" max="13823" width="8.88671875" style="538"/>
    <col min="13824" max="13824" width="11.33203125" style="538" bestFit="1" customWidth="1"/>
    <col min="13825" max="13825" width="11.109375" style="538" bestFit="1" customWidth="1"/>
    <col min="13826" max="13826" width="37.33203125" style="538" bestFit="1" customWidth="1"/>
    <col min="13827" max="13827" width="37.33203125" style="538" customWidth="1"/>
    <col min="13828" max="13828" width="15.33203125" style="538" bestFit="1" customWidth="1"/>
    <col min="13829" max="13829" width="14.33203125" style="538" bestFit="1" customWidth="1"/>
    <col min="13830" max="13830" width="12.88671875" style="538" bestFit="1" customWidth="1"/>
    <col min="13831" max="13842" width="12.44140625" style="538" bestFit="1" customWidth="1"/>
    <col min="13843" max="13843" width="14.109375" style="538" bestFit="1" customWidth="1"/>
    <col min="13844" max="14079" width="8.88671875" style="538"/>
    <col min="14080" max="14080" width="11.33203125" style="538" bestFit="1" customWidth="1"/>
    <col min="14081" max="14081" width="11.109375" style="538" bestFit="1" customWidth="1"/>
    <col min="14082" max="14082" width="37.33203125" style="538" bestFit="1" customWidth="1"/>
    <col min="14083" max="14083" width="37.33203125" style="538" customWidth="1"/>
    <col min="14084" max="14084" width="15.33203125" style="538" bestFit="1" customWidth="1"/>
    <col min="14085" max="14085" width="14.33203125" style="538" bestFit="1" customWidth="1"/>
    <col min="14086" max="14086" width="12.88671875" style="538" bestFit="1" customWidth="1"/>
    <col min="14087" max="14098" width="12.44140625" style="538" bestFit="1" customWidth="1"/>
    <col min="14099" max="14099" width="14.109375" style="538" bestFit="1" customWidth="1"/>
    <col min="14100" max="14335" width="8.88671875" style="538"/>
    <col min="14336" max="14336" width="11.33203125" style="538" bestFit="1" customWidth="1"/>
    <col min="14337" max="14337" width="11.109375" style="538" bestFit="1" customWidth="1"/>
    <col min="14338" max="14338" width="37.33203125" style="538" bestFit="1" customWidth="1"/>
    <col min="14339" max="14339" width="37.33203125" style="538" customWidth="1"/>
    <col min="14340" max="14340" width="15.33203125" style="538" bestFit="1" customWidth="1"/>
    <col min="14341" max="14341" width="14.33203125" style="538" bestFit="1" customWidth="1"/>
    <col min="14342" max="14342" width="12.88671875" style="538" bestFit="1" customWidth="1"/>
    <col min="14343" max="14354" width="12.44140625" style="538" bestFit="1" customWidth="1"/>
    <col min="14355" max="14355" width="14.109375" style="538" bestFit="1" customWidth="1"/>
    <col min="14356" max="14591" width="8.88671875" style="538"/>
    <col min="14592" max="14592" width="11.33203125" style="538" bestFit="1" customWidth="1"/>
    <col min="14593" max="14593" width="11.109375" style="538" bestFit="1" customWidth="1"/>
    <col min="14594" max="14594" width="37.33203125" style="538" bestFit="1" customWidth="1"/>
    <col min="14595" max="14595" width="37.33203125" style="538" customWidth="1"/>
    <col min="14596" max="14596" width="15.33203125" style="538" bestFit="1" customWidth="1"/>
    <col min="14597" max="14597" width="14.33203125" style="538" bestFit="1" customWidth="1"/>
    <col min="14598" max="14598" width="12.88671875" style="538" bestFit="1" customWidth="1"/>
    <col min="14599" max="14610" width="12.44140625" style="538" bestFit="1" customWidth="1"/>
    <col min="14611" max="14611" width="14.109375" style="538" bestFit="1" customWidth="1"/>
    <col min="14612" max="14847" width="8.88671875" style="538"/>
    <col min="14848" max="14848" width="11.33203125" style="538" bestFit="1" customWidth="1"/>
    <col min="14849" max="14849" width="11.109375" style="538" bestFit="1" customWidth="1"/>
    <col min="14850" max="14850" width="37.33203125" style="538" bestFit="1" customWidth="1"/>
    <col min="14851" max="14851" width="37.33203125" style="538" customWidth="1"/>
    <col min="14852" max="14852" width="15.33203125" style="538" bestFit="1" customWidth="1"/>
    <col min="14853" max="14853" width="14.33203125" style="538" bestFit="1" customWidth="1"/>
    <col min="14854" max="14854" width="12.88671875" style="538" bestFit="1" customWidth="1"/>
    <col min="14855" max="14866" width="12.44140625" style="538" bestFit="1" customWidth="1"/>
    <col min="14867" max="14867" width="14.109375" style="538" bestFit="1" customWidth="1"/>
    <col min="14868" max="15103" width="8.88671875" style="538"/>
    <col min="15104" max="15104" width="11.33203125" style="538" bestFit="1" customWidth="1"/>
    <col min="15105" max="15105" width="11.109375" style="538" bestFit="1" customWidth="1"/>
    <col min="15106" max="15106" width="37.33203125" style="538" bestFit="1" customWidth="1"/>
    <col min="15107" max="15107" width="37.33203125" style="538" customWidth="1"/>
    <col min="15108" max="15108" width="15.33203125" style="538" bestFit="1" customWidth="1"/>
    <col min="15109" max="15109" width="14.33203125" style="538" bestFit="1" customWidth="1"/>
    <col min="15110" max="15110" width="12.88671875" style="538" bestFit="1" customWidth="1"/>
    <col min="15111" max="15122" width="12.44140625" style="538" bestFit="1" customWidth="1"/>
    <col min="15123" max="15123" width="14.109375" style="538" bestFit="1" customWidth="1"/>
    <col min="15124" max="15359" width="8.88671875" style="538"/>
    <col min="15360" max="15360" width="11.33203125" style="538" bestFit="1" customWidth="1"/>
    <col min="15361" max="15361" width="11.109375" style="538" bestFit="1" customWidth="1"/>
    <col min="15362" max="15362" width="37.33203125" style="538" bestFit="1" customWidth="1"/>
    <col min="15363" max="15363" width="37.33203125" style="538" customWidth="1"/>
    <col min="15364" max="15364" width="15.33203125" style="538" bestFit="1" customWidth="1"/>
    <col min="15365" max="15365" width="14.33203125" style="538" bestFit="1" customWidth="1"/>
    <col min="15366" max="15366" width="12.88671875" style="538" bestFit="1" customWidth="1"/>
    <col min="15367" max="15378" width="12.44140625" style="538" bestFit="1" customWidth="1"/>
    <col min="15379" max="15379" width="14.109375" style="538" bestFit="1" customWidth="1"/>
    <col min="15380" max="15615" width="8.88671875" style="538"/>
    <col min="15616" max="15616" width="11.33203125" style="538" bestFit="1" customWidth="1"/>
    <col min="15617" max="15617" width="11.109375" style="538" bestFit="1" customWidth="1"/>
    <col min="15618" max="15618" width="37.33203125" style="538" bestFit="1" customWidth="1"/>
    <col min="15619" max="15619" width="37.33203125" style="538" customWidth="1"/>
    <col min="15620" max="15620" width="15.33203125" style="538" bestFit="1" customWidth="1"/>
    <col min="15621" max="15621" width="14.33203125" style="538" bestFit="1" customWidth="1"/>
    <col min="15622" max="15622" width="12.88671875" style="538" bestFit="1" customWidth="1"/>
    <col min="15623" max="15634" width="12.44140625" style="538" bestFit="1" customWidth="1"/>
    <col min="15635" max="15635" width="14.109375" style="538" bestFit="1" customWidth="1"/>
    <col min="15636" max="15871" width="8.88671875" style="538"/>
    <col min="15872" max="15872" width="11.33203125" style="538" bestFit="1" customWidth="1"/>
    <col min="15873" max="15873" width="11.109375" style="538" bestFit="1" customWidth="1"/>
    <col min="15874" max="15874" width="37.33203125" style="538" bestFit="1" customWidth="1"/>
    <col min="15875" max="15875" width="37.33203125" style="538" customWidth="1"/>
    <col min="15876" max="15876" width="15.33203125" style="538" bestFit="1" customWidth="1"/>
    <col min="15877" max="15877" width="14.33203125" style="538" bestFit="1" customWidth="1"/>
    <col min="15878" max="15878" width="12.88671875" style="538" bestFit="1" customWidth="1"/>
    <col min="15879" max="15890" width="12.44140625" style="538" bestFit="1" customWidth="1"/>
    <col min="15891" max="15891" width="14.109375" style="538" bestFit="1" customWidth="1"/>
    <col min="15892" max="16127" width="8.88671875" style="538"/>
    <col min="16128" max="16128" width="11.33203125" style="538" bestFit="1" customWidth="1"/>
    <col min="16129" max="16129" width="11.109375" style="538" bestFit="1" customWidth="1"/>
    <col min="16130" max="16130" width="37.33203125" style="538" bestFit="1" customWidth="1"/>
    <col min="16131" max="16131" width="37.33203125" style="538" customWidth="1"/>
    <col min="16132" max="16132" width="15.33203125" style="538" bestFit="1" customWidth="1"/>
    <col min="16133" max="16133" width="14.33203125" style="538" bestFit="1" customWidth="1"/>
    <col min="16134" max="16134" width="12.88671875" style="538" bestFit="1" customWidth="1"/>
    <col min="16135" max="16146" width="12.44140625" style="538" bestFit="1" customWidth="1"/>
    <col min="16147" max="16147" width="14.109375" style="538" bestFit="1" customWidth="1"/>
    <col min="16148" max="16384" width="8.88671875" style="538"/>
  </cols>
  <sheetData>
    <row r="3" spans="1:22" ht="15.45" x14ac:dyDescent="0.35">
      <c r="A3" s="537" t="s">
        <v>385</v>
      </c>
    </row>
    <row r="4" spans="1:22" ht="13.95" x14ac:dyDescent="0.3">
      <c r="A4" s="539" t="s">
        <v>386</v>
      </c>
    </row>
    <row r="5" spans="1:22" ht="13.05" thickBot="1" x14ac:dyDescent="0.3"/>
    <row r="6" spans="1:22" ht="14.4" thickBot="1" x14ac:dyDescent="0.3">
      <c r="A6" s="540" t="s">
        <v>387</v>
      </c>
      <c r="B6" s="540" t="s">
        <v>388</v>
      </c>
      <c r="C6" s="540" t="s">
        <v>389</v>
      </c>
      <c r="D6" s="540" t="s">
        <v>390</v>
      </c>
      <c r="E6" s="540" t="s">
        <v>391</v>
      </c>
      <c r="F6" s="541" t="s">
        <v>392</v>
      </c>
      <c r="G6" s="541" t="s">
        <v>393</v>
      </c>
      <c r="H6" s="541" t="s">
        <v>394</v>
      </c>
      <c r="I6" s="541" t="s">
        <v>395</v>
      </c>
      <c r="J6" s="541" t="s">
        <v>396</v>
      </c>
      <c r="K6" s="541" t="s">
        <v>397</v>
      </c>
      <c r="L6" s="541" t="s">
        <v>398</v>
      </c>
      <c r="M6" s="541" t="s">
        <v>399</v>
      </c>
      <c r="N6" s="541" t="s">
        <v>400</v>
      </c>
      <c r="O6" s="541" t="s">
        <v>401</v>
      </c>
      <c r="P6" s="541" t="s">
        <v>402</v>
      </c>
      <c r="Q6" s="542" t="s">
        <v>403</v>
      </c>
      <c r="R6" s="543" t="s">
        <v>404</v>
      </c>
      <c r="S6" s="543" t="s">
        <v>405</v>
      </c>
      <c r="T6" s="538" t="s">
        <v>64</v>
      </c>
      <c r="U6" s="558" t="s">
        <v>448</v>
      </c>
    </row>
    <row r="7" spans="1:22" ht="14.55" x14ac:dyDescent="0.35">
      <c r="A7" s="544" t="s">
        <v>406</v>
      </c>
      <c r="B7" s="544" t="s">
        <v>69</v>
      </c>
      <c r="C7" s="544" t="s">
        <v>407</v>
      </c>
      <c r="D7" s="544" t="s">
        <v>408</v>
      </c>
      <c r="E7" s="545">
        <v>17.25</v>
      </c>
      <c r="F7" s="546">
        <v>1173</v>
      </c>
      <c r="G7" s="546">
        <v>1449</v>
      </c>
      <c r="H7" s="546">
        <v>1086.75</v>
      </c>
      <c r="I7" s="546">
        <v>1690.5</v>
      </c>
      <c r="J7" s="546">
        <v>1207.5</v>
      </c>
      <c r="K7" s="546">
        <v>1621.5</v>
      </c>
      <c r="L7" s="546">
        <v>0</v>
      </c>
      <c r="M7" s="546">
        <v>0</v>
      </c>
      <c r="N7" s="546">
        <v>0</v>
      </c>
      <c r="O7" s="546">
        <v>0</v>
      </c>
      <c r="P7" s="546">
        <v>0</v>
      </c>
      <c r="Q7" s="546">
        <v>0</v>
      </c>
      <c r="R7" s="547">
        <v>8228.25</v>
      </c>
      <c r="S7" s="548">
        <v>477</v>
      </c>
      <c r="T7" s="553">
        <f>'Outpatient Counseling '!R7</f>
        <v>19.599435564957187</v>
      </c>
      <c r="U7" s="555">
        <f>T7*S7</f>
        <v>9348.9307644845776</v>
      </c>
      <c r="V7" s="555"/>
    </row>
    <row r="8" spans="1:22" ht="14.55" x14ac:dyDescent="0.35">
      <c r="A8" s="544" t="s">
        <v>406</v>
      </c>
      <c r="B8" s="544" t="s">
        <v>69</v>
      </c>
      <c r="C8" s="544" t="s">
        <v>407</v>
      </c>
      <c r="D8" s="544" t="s">
        <v>408</v>
      </c>
      <c r="E8" s="545">
        <v>18.71</v>
      </c>
      <c r="F8" s="546">
        <v>0</v>
      </c>
      <c r="G8" s="546">
        <v>0</v>
      </c>
      <c r="H8" s="546">
        <v>0</v>
      </c>
      <c r="I8" s="546">
        <v>0</v>
      </c>
      <c r="J8" s="546">
        <v>0</v>
      </c>
      <c r="K8" s="546">
        <v>0</v>
      </c>
      <c r="L8" s="546">
        <v>898.07999999999993</v>
      </c>
      <c r="M8" s="546">
        <v>785.81999999999994</v>
      </c>
      <c r="N8" s="546">
        <v>112.26</v>
      </c>
      <c r="O8" s="546">
        <v>0</v>
      </c>
      <c r="P8" s="546">
        <v>0</v>
      </c>
      <c r="Q8" s="546">
        <v>187.10000000000002</v>
      </c>
      <c r="R8" s="547">
        <v>1983.2599999999998</v>
      </c>
      <c r="S8" s="548">
        <v>106</v>
      </c>
      <c r="T8" s="553">
        <f>'Outpatient Counseling '!R7</f>
        <v>19.599435564957187</v>
      </c>
      <c r="U8" s="555">
        <f t="shared" ref="U8:U71" si="0">T8*S8</f>
        <v>2077.5401698854616</v>
      </c>
      <c r="V8" s="555"/>
    </row>
    <row r="9" spans="1:22" ht="14.55" x14ac:dyDescent="0.35">
      <c r="A9" s="544" t="s">
        <v>406</v>
      </c>
      <c r="B9" s="544" t="s">
        <v>409</v>
      </c>
      <c r="C9" s="544" t="s">
        <v>407</v>
      </c>
      <c r="D9" s="544" t="s">
        <v>410</v>
      </c>
      <c r="E9" s="545">
        <v>13.18</v>
      </c>
      <c r="F9" s="546">
        <v>23420.86</v>
      </c>
      <c r="G9" s="546">
        <v>23209.980000000003</v>
      </c>
      <c r="H9" s="546">
        <v>18438.82</v>
      </c>
      <c r="I9" s="546">
        <v>23644.92</v>
      </c>
      <c r="J9" s="546">
        <v>25292.42</v>
      </c>
      <c r="K9" s="546">
        <v>28271.1</v>
      </c>
      <c r="L9" s="546">
        <v>0</v>
      </c>
      <c r="M9" s="546">
        <v>0</v>
      </c>
      <c r="N9" s="546">
        <v>0</v>
      </c>
      <c r="O9" s="546">
        <v>0</v>
      </c>
      <c r="P9" s="546">
        <v>0</v>
      </c>
      <c r="Q9" s="546">
        <v>0</v>
      </c>
      <c r="R9" s="547">
        <v>142278.1</v>
      </c>
      <c r="S9" s="548">
        <v>10795</v>
      </c>
      <c r="T9" s="553">
        <f>'Case Management'!L24</f>
        <v>16.220952789599341</v>
      </c>
      <c r="U9" s="555">
        <f t="shared" si="0"/>
        <v>175105.18536372489</v>
      </c>
      <c r="V9" s="555"/>
    </row>
    <row r="10" spans="1:22" ht="14.55" x14ac:dyDescent="0.35">
      <c r="A10" s="544" t="s">
        <v>406</v>
      </c>
      <c r="B10" s="544" t="s">
        <v>409</v>
      </c>
      <c r="C10" s="544" t="s">
        <v>407</v>
      </c>
      <c r="D10" s="544" t="s">
        <v>410</v>
      </c>
      <c r="E10" s="545">
        <v>14.7</v>
      </c>
      <c r="F10" s="546">
        <v>0</v>
      </c>
      <c r="G10" s="546">
        <v>0</v>
      </c>
      <c r="H10" s="546">
        <v>0</v>
      </c>
      <c r="I10" s="546">
        <v>0</v>
      </c>
      <c r="J10" s="546">
        <v>0</v>
      </c>
      <c r="K10" s="546">
        <v>0</v>
      </c>
      <c r="L10" s="546">
        <v>28370.999999999996</v>
      </c>
      <c r="M10" s="546">
        <v>23975.699999999997</v>
      </c>
      <c r="N10" s="546">
        <v>16993.2</v>
      </c>
      <c r="O10" s="546">
        <v>38763.9</v>
      </c>
      <c r="P10" s="546">
        <v>27165.600000000002</v>
      </c>
      <c r="Q10" s="546">
        <v>25460.399999999998</v>
      </c>
      <c r="R10" s="547">
        <v>160729.79999999999</v>
      </c>
      <c r="S10" s="548">
        <v>10934</v>
      </c>
      <c r="T10" s="553">
        <f>'Case Management'!L24</f>
        <v>16.220952789599341</v>
      </c>
      <c r="U10" s="555">
        <f t="shared" si="0"/>
        <v>177359.89780147921</v>
      </c>
      <c r="V10" s="555"/>
    </row>
    <row r="11" spans="1:22" ht="14.55" x14ac:dyDescent="0.35">
      <c r="A11" s="544" t="s">
        <v>406</v>
      </c>
      <c r="B11" s="544" t="s">
        <v>411</v>
      </c>
      <c r="C11" s="544" t="s">
        <v>407</v>
      </c>
      <c r="D11" s="544" t="s">
        <v>412</v>
      </c>
      <c r="E11" s="545">
        <v>20.38</v>
      </c>
      <c r="F11" s="546">
        <v>2180.66</v>
      </c>
      <c r="G11" s="546">
        <v>1161.6600000000001</v>
      </c>
      <c r="H11" s="546">
        <v>346.46</v>
      </c>
      <c r="I11" s="546">
        <v>0</v>
      </c>
      <c r="J11" s="546">
        <v>20.38</v>
      </c>
      <c r="K11" s="546">
        <v>733.68</v>
      </c>
      <c r="L11" s="546">
        <v>0</v>
      </c>
      <c r="M11" s="546">
        <v>0</v>
      </c>
      <c r="N11" s="546">
        <v>0</v>
      </c>
      <c r="O11" s="546">
        <v>0</v>
      </c>
      <c r="P11" s="546">
        <v>0</v>
      </c>
      <c r="Q11" s="546">
        <v>0</v>
      </c>
      <c r="R11" s="547">
        <v>4442.84</v>
      </c>
      <c r="S11" s="548">
        <v>218</v>
      </c>
      <c r="T11" s="553">
        <f>'Case Management'!F24</f>
        <v>20.14226865397033</v>
      </c>
      <c r="U11" s="555">
        <f t="shared" si="0"/>
        <v>4391.0145665655318</v>
      </c>
      <c r="V11" s="555"/>
    </row>
    <row r="12" spans="1:22" ht="14.55" x14ac:dyDescent="0.35">
      <c r="A12" s="544" t="s">
        <v>406</v>
      </c>
      <c r="B12" s="544" t="s">
        <v>413</v>
      </c>
      <c r="C12" s="544" t="s">
        <v>407</v>
      </c>
      <c r="D12" s="544" t="s">
        <v>318</v>
      </c>
      <c r="E12" s="545">
        <v>13.97</v>
      </c>
      <c r="F12" s="546">
        <v>86111.08</v>
      </c>
      <c r="G12" s="546">
        <v>63214.25</v>
      </c>
      <c r="H12" s="546">
        <v>44284.9</v>
      </c>
      <c r="I12" s="546">
        <v>45123.1</v>
      </c>
      <c r="J12" s="546">
        <v>39353.490000000005</v>
      </c>
      <c r="K12" s="546">
        <v>43558.459999999992</v>
      </c>
      <c r="L12" s="546">
        <v>0</v>
      </c>
      <c r="M12" s="546">
        <v>0</v>
      </c>
      <c r="N12" s="546">
        <v>0</v>
      </c>
      <c r="O12" s="546">
        <v>0</v>
      </c>
      <c r="P12" s="546">
        <v>0</v>
      </c>
      <c r="Q12" s="546">
        <v>0</v>
      </c>
      <c r="R12" s="547">
        <v>321645.28000000003</v>
      </c>
      <c r="S12" s="548">
        <v>23024</v>
      </c>
      <c r="T12" s="553">
        <f>'Recovery Coaching'!F24</f>
        <v>14.908900350869741</v>
      </c>
      <c r="U12" s="555">
        <f t="shared" si="0"/>
        <v>343262.52167842491</v>
      </c>
      <c r="V12" s="555"/>
    </row>
    <row r="13" spans="1:22" ht="14.55" x14ac:dyDescent="0.35">
      <c r="A13" s="544" t="s">
        <v>406</v>
      </c>
      <c r="B13" s="544" t="s">
        <v>413</v>
      </c>
      <c r="C13" s="544" t="s">
        <v>407</v>
      </c>
      <c r="D13" s="544" t="s">
        <v>318</v>
      </c>
      <c r="E13" s="545">
        <v>14.57</v>
      </c>
      <c r="F13" s="546">
        <v>0</v>
      </c>
      <c r="G13" s="546">
        <v>0</v>
      </c>
      <c r="H13" s="546">
        <v>0</v>
      </c>
      <c r="I13" s="546">
        <v>0</v>
      </c>
      <c r="J13" s="546">
        <v>0</v>
      </c>
      <c r="K13" s="546">
        <v>0</v>
      </c>
      <c r="L13" s="546">
        <v>47600.19</v>
      </c>
      <c r="M13" s="546">
        <v>33656.699999999997</v>
      </c>
      <c r="N13" s="546">
        <v>41203.96</v>
      </c>
      <c r="O13" s="546">
        <v>49421.439999999988</v>
      </c>
      <c r="P13" s="546">
        <v>52277.159999999996</v>
      </c>
      <c r="Q13" s="546">
        <v>43986.829999999994</v>
      </c>
      <c r="R13" s="547">
        <v>268146.27999999997</v>
      </c>
      <c r="S13" s="548">
        <v>18404</v>
      </c>
      <c r="T13" s="553">
        <f>'Recovery Coaching'!F24</f>
        <v>14.908900350869741</v>
      </c>
      <c r="U13" s="555">
        <f t="shared" si="0"/>
        <v>274383.40205740673</v>
      </c>
      <c r="V13" s="555"/>
    </row>
    <row r="14" spans="1:22" ht="14.55" x14ac:dyDescent="0.35">
      <c r="A14" s="544" t="s">
        <v>406</v>
      </c>
      <c r="B14" s="544" t="s">
        <v>414</v>
      </c>
      <c r="C14" s="544" t="s">
        <v>407</v>
      </c>
      <c r="D14" s="544" t="s">
        <v>102</v>
      </c>
      <c r="E14" s="545">
        <v>10.19</v>
      </c>
      <c r="F14" s="546">
        <v>61.14</v>
      </c>
      <c r="G14" s="546">
        <v>0</v>
      </c>
      <c r="H14" s="546">
        <v>0</v>
      </c>
      <c r="I14" s="546">
        <v>0</v>
      </c>
      <c r="J14" s="546">
        <v>0</v>
      </c>
      <c r="K14" s="546">
        <v>0</v>
      </c>
      <c r="L14" s="546">
        <v>0</v>
      </c>
      <c r="M14" s="546">
        <v>0</v>
      </c>
      <c r="N14" s="546">
        <v>0</v>
      </c>
      <c r="O14" s="546">
        <v>0</v>
      </c>
      <c r="P14" s="546">
        <v>0</v>
      </c>
      <c r="Q14" s="546">
        <v>0</v>
      </c>
      <c r="R14" s="547">
        <v>61.14</v>
      </c>
      <c r="S14" s="548">
        <v>6</v>
      </c>
      <c r="T14" s="553">
        <f>'Telephone Rec'!F23</f>
        <v>13.242878557698054</v>
      </c>
      <c r="U14" s="555">
        <f t="shared" si="0"/>
        <v>79.457271346188321</v>
      </c>
      <c r="V14" s="555"/>
    </row>
    <row r="15" spans="1:22" ht="14.55" x14ac:dyDescent="0.35">
      <c r="A15" s="544" t="s">
        <v>406</v>
      </c>
      <c r="B15" s="544" t="s">
        <v>414</v>
      </c>
      <c r="C15" s="544" t="s">
        <v>407</v>
      </c>
      <c r="D15" s="544" t="s">
        <v>102</v>
      </c>
      <c r="E15" s="545">
        <v>11.84</v>
      </c>
      <c r="F15" s="546">
        <v>0</v>
      </c>
      <c r="G15" s="546">
        <v>0</v>
      </c>
      <c r="H15" s="546">
        <v>0</v>
      </c>
      <c r="I15" s="546">
        <v>0</v>
      </c>
      <c r="J15" s="546">
        <v>0</v>
      </c>
      <c r="K15" s="546">
        <v>0</v>
      </c>
      <c r="L15" s="546">
        <v>0</v>
      </c>
      <c r="M15" s="546">
        <v>0</v>
      </c>
      <c r="N15" s="546">
        <v>11.84</v>
      </c>
      <c r="O15" s="546">
        <v>153.91999999999999</v>
      </c>
      <c r="P15" s="546">
        <v>59.2</v>
      </c>
      <c r="Q15" s="546">
        <v>0</v>
      </c>
      <c r="R15" s="547">
        <v>224.95999999999998</v>
      </c>
      <c r="S15" s="548">
        <v>19</v>
      </c>
      <c r="T15" s="553">
        <f>T14</f>
        <v>13.242878557698054</v>
      </c>
      <c r="U15" s="555">
        <f t="shared" si="0"/>
        <v>251.61469259626304</v>
      </c>
      <c r="V15" s="555"/>
    </row>
    <row r="16" spans="1:22" ht="14.55" x14ac:dyDescent="0.35">
      <c r="A16" s="544" t="s">
        <v>406</v>
      </c>
      <c r="B16" s="544" t="s">
        <v>92</v>
      </c>
      <c r="C16" s="544" t="s">
        <v>407</v>
      </c>
      <c r="D16" s="544" t="s">
        <v>415</v>
      </c>
      <c r="E16" s="545">
        <v>3.7</v>
      </c>
      <c r="F16" s="546">
        <v>6275.2000000000007</v>
      </c>
      <c r="G16" s="546">
        <v>6523.1</v>
      </c>
      <c r="H16" s="546">
        <v>5764.6</v>
      </c>
      <c r="I16" s="546">
        <v>7736.7000000000007</v>
      </c>
      <c r="J16" s="546">
        <v>6256.7000000000007</v>
      </c>
      <c r="K16" s="546">
        <v>4921</v>
      </c>
      <c r="L16" s="546">
        <v>0</v>
      </c>
      <c r="M16" s="546">
        <v>0</v>
      </c>
      <c r="N16" s="546">
        <v>0</v>
      </c>
      <c r="O16" s="546">
        <v>0</v>
      </c>
      <c r="P16" s="546">
        <v>0</v>
      </c>
      <c r="Q16" s="546">
        <v>0</v>
      </c>
      <c r="R16" s="547">
        <v>37477.300000000003</v>
      </c>
      <c r="S16" s="548">
        <v>10129</v>
      </c>
      <c r="T16" s="553">
        <f>Psycho.Ed!F25</f>
        <v>4.2564858895456172</v>
      </c>
      <c r="U16" s="555">
        <f t="shared" si="0"/>
        <v>43113.945575207559</v>
      </c>
      <c r="V16" s="555"/>
    </row>
    <row r="17" spans="1:22" ht="14.55" x14ac:dyDescent="0.35">
      <c r="A17" s="544" t="s">
        <v>406</v>
      </c>
      <c r="B17" s="544" t="s">
        <v>92</v>
      </c>
      <c r="C17" s="544" t="s">
        <v>407</v>
      </c>
      <c r="D17" s="544" t="s">
        <v>415</v>
      </c>
      <c r="E17" s="545">
        <v>3.89</v>
      </c>
      <c r="F17" s="546">
        <v>0</v>
      </c>
      <c r="G17" s="546">
        <v>0</v>
      </c>
      <c r="H17" s="546">
        <v>0</v>
      </c>
      <c r="I17" s="546">
        <v>0</v>
      </c>
      <c r="J17" s="546">
        <v>0</v>
      </c>
      <c r="K17" s="546">
        <v>0</v>
      </c>
      <c r="L17" s="546">
        <v>7601.0599999999995</v>
      </c>
      <c r="M17" s="546">
        <v>5971.15</v>
      </c>
      <c r="N17" s="546">
        <v>7103.1399999999994</v>
      </c>
      <c r="O17" s="546">
        <v>7663.3</v>
      </c>
      <c r="P17" s="546">
        <v>7601.06</v>
      </c>
      <c r="Q17" s="546">
        <v>5368.2000000000007</v>
      </c>
      <c r="R17" s="547">
        <v>41307.910000000003</v>
      </c>
      <c r="S17" s="548">
        <v>10619</v>
      </c>
      <c r="T17" s="553">
        <f>T16</f>
        <v>4.2564858895456172</v>
      </c>
      <c r="U17" s="555">
        <f t="shared" si="0"/>
        <v>45199.623661084908</v>
      </c>
      <c r="V17" s="555"/>
    </row>
    <row r="18" spans="1:22" ht="14.55" x14ac:dyDescent="0.35">
      <c r="A18" s="544" t="s">
        <v>416</v>
      </c>
      <c r="B18" s="544" t="s">
        <v>69</v>
      </c>
      <c r="C18" s="544" t="s">
        <v>417</v>
      </c>
      <c r="D18" s="544" t="s">
        <v>408</v>
      </c>
      <c r="E18" s="545">
        <v>17.25</v>
      </c>
      <c r="F18" s="546">
        <v>0</v>
      </c>
      <c r="G18" s="546">
        <v>0</v>
      </c>
      <c r="H18" s="546">
        <v>103.5</v>
      </c>
      <c r="I18" s="546">
        <v>0</v>
      </c>
      <c r="J18" s="546">
        <v>0</v>
      </c>
      <c r="K18" s="546">
        <v>0</v>
      </c>
      <c r="L18" s="546">
        <v>0</v>
      </c>
      <c r="M18" s="546">
        <v>0</v>
      </c>
      <c r="N18" s="546">
        <v>0</v>
      </c>
      <c r="O18" s="546">
        <v>0</v>
      </c>
      <c r="P18" s="546">
        <v>0</v>
      </c>
      <c r="Q18" s="546">
        <v>0</v>
      </c>
      <c r="R18" s="547">
        <v>103.5</v>
      </c>
      <c r="S18" s="548">
        <v>6</v>
      </c>
      <c r="T18" s="553">
        <f>T7</f>
        <v>19.599435564957187</v>
      </c>
      <c r="U18" s="555">
        <f t="shared" si="0"/>
        <v>117.59661338974311</v>
      </c>
      <c r="V18" s="555"/>
    </row>
    <row r="19" spans="1:22" ht="14.55" x14ac:dyDescent="0.35">
      <c r="A19" s="544" t="s">
        <v>416</v>
      </c>
      <c r="B19" s="544" t="s">
        <v>69</v>
      </c>
      <c r="C19" s="544" t="s">
        <v>417</v>
      </c>
      <c r="D19" s="544" t="s">
        <v>408</v>
      </c>
      <c r="E19" s="545">
        <v>18.71</v>
      </c>
      <c r="F19" s="546">
        <v>0</v>
      </c>
      <c r="G19" s="546">
        <v>0</v>
      </c>
      <c r="H19" s="546">
        <v>0</v>
      </c>
      <c r="I19" s="546">
        <v>0</v>
      </c>
      <c r="J19" s="546">
        <v>0</v>
      </c>
      <c r="K19" s="546">
        <v>0</v>
      </c>
      <c r="L19" s="546">
        <v>0</v>
      </c>
      <c r="M19" s="546">
        <v>112.26</v>
      </c>
      <c r="N19" s="546">
        <v>112.26</v>
      </c>
      <c r="O19" s="546">
        <v>261.94</v>
      </c>
      <c r="P19" s="546">
        <v>0</v>
      </c>
      <c r="Q19" s="546">
        <v>411.62</v>
      </c>
      <c r="R19" s="547">
        <v>898.08</v>
      </c>
      <c r="S19" s="548">
        <v>48</v>
      </c>
      <c r="T19" s="553">
        <f>T8</f>
        <v>19.599435564957187</v>
      </c>
      <c r="U19" s="555">
        <f t="shared" si="0"/>
        <v>940.7729071179449</v>
      </c>
      <c r="V19" s="555"/>
    </row>
    <row r="20" spans="1:22" ht="14.55" x14ac:dyDescent="0.35">
      <c r="A20" s="544" t="s">
        <v>416</v>
      </c>
      <c r="B20" s="544" t="s">
        <v>418</v>
      </c>
      <c r="C20" s="544" t="s">
        <v>417</v>
      </c>
      <c r="D20" s="544" t="s">
        <v>419</v>
      </c>
      <c r="E20" s="545">
        <v>72.790000000000006</v>
      </c>
      <c r="F20" s="546">
        <v>11205.410000000003</v>
      </c>
      <c r="G20" s="546">
        <v>6901.0499999999984</v>
      </c>
      <c r="H20" s="546">
        <v>9389.91</v>
      </c>
      <c r="I20" s="546">
        <v>8640.3799999999992</v>
      </c>
      <c r="J20" s="546">
        <v>5459.25</v>
      </c>
      <c r="K20" s="546">
        <v>4804.1399999999994</v>
      </c>
      <c r="L20" s="546">
        <v>0</v>
      </c>
      <c r="M20" s="546">
        <v>0</v>
      </c>
      <c r="N20" s="546">
        <v>0</v>
      </c>
      <c r="O20" s="546">
        <v>0</v>
      </c>
      <c r="P20" s="546">
        <v>0</v>
      </c>
      <c r="Q20" s="546">
        <v>0</v>
      </c>
      <c r="R20" s="547">
        <v>46400.14</v>
      </c>
      <c r="S20" s="548">
        <v>642</v>
      </c>
      <c r="T20" s="553">
        <f>'Day Treatments'!F24</f>
        <v>89.463896536039968</v>
      </c>
      <c r="U20" s="555">
        <f t="shared" si="0"/>
        <v>57435.821576137656</v>
      </c>
      <c r="V20" s="555"/>
    </row>
    <row r="21" spans="1:22" ht="14.55" x14ac:dyDescent="0.35">
      <c r="A21" s="544" t="s">
        <v>416</v>
      </c>
      <c r="B21" s="544" t="s">
        <v>418</v>
      </c>
      <c r="C21" s="544" t="s">
        <v>417</v>
      </c>
      <c r="D21" s="544" t="s">
        <v>419</v>
      </c>
      <c r="E21" s="545">
        <v>84.11</v>
      </c>
      <c r="F21" s="546">
        <v>0</v>
      </c>
      <c r="G21" s="546">
        <v>0</v>
      </c>
      <c r="H21" s="546">
        <v>0</v>
      </c>
      <c r="I21" s="546">
        <v>0</v>
      </c>
      <c r="J21" s="546">
        <v>0</v>
      </c>
      <c r="K21" s="546">
        <v>0</v>
      </c>
      <c r="L21" s="546">
        <v>9252.0999999999985</v>
      </c>
      <c r="M21" s="546">
        <v>12027.730000000001</v>
      </c>
      <c r="N21" s="546">
        <v>10093.199999999999</v>
      </c>
      <c r="O21" s="546">
        <v>11006.41</v>
      </c>
      <c r="P21" s="546">
        <v>10153.31</v>
      </c>
      <c r="Q21" s="546">
        <v>5887.6999999999989</v>
      </c>
      <c r="R21" s="547">
        <v>58420.45</v>
      </c>
      <c r="S21" s="548">
        <v>695</v>
      </c>
      <c r="T21" s="553">
        <f>T20</f>
        <v>89.463896536039968</v>
      </c>
      <c r="U21" s="555">
        <f t="shared" si="0"/>
        <v>62177.408092547776</v>
      </c>
      <c r="V21" s="555"/>
    </row>
    <row r="22" spans="1:22" ht="14.55" x14ac:dyDescent="0.35">
      <c r="A22" s="544" t="s">
        <v>420</v>
      </c>
      <c r="B22" s="544" t="s">
        <v>421</v>
      </c>
      <c r="C22" s="544" t="s">
        <v>422</v>
      </c>
      <c r="D22" s="544" t="s">
        <v>423</v>
      </c>
      <c r="E22" s="545">
        <v>34.51</v>
      </c>
      <c r="F22" s="546">
        <v>234.57</v>
      </c>
      <c r="G22" s="546">
        <v>483.14</v>
      </c>
      <c r="H22" s="546">
        <v>134.54</v>
      </c>
      <c r="I22" s="546">
        <v>230.57000000000002</v>
      </c>
      <c r="J22" s="546">
        <v>0</v>
      </c>
      <c r="K22" s="546">
        <v>197.06</v>
      </c>
      <c r="L22" s="546">
        <v>0</v>
      </c>
      <c r="M22" s="546">
        <v>0</v>
      </c>
      <c r="N22" s="546">
        <v>0</v>
      </c>
      <c r="O22" s="546">
        <v>0</v>
      </c>
      <c r="P22" s="546">
        <v>0</v>
      </c>
      <c r="Q22" s="546">
        <v>0</v>
      </c>
      <c r="R22" s="547">
        <v>1279.8799999999999</v>
      </c>
      <c r="S22" s="548">
        <v>38</v>
      </c>
      <c r="T22" s="553">
        <f>'Outpatient Counseling '!R6</f>
        <v>39.198871129914373</v>
      </c>
      <c r="U22" s="555">
        <f t="shared" si="0"/>
        <v>1489.5571029367461</v>
      </c>
      <c r="V22" s="555"/>
    </row>
    <row r="23" spans="1:22" ht="14.4" x14ac:dyDescent="0.3">
      <c r="A23" s="544" t="s">
        <v>420</v>
      </c>
      <c r="B23" s="544" t="s">
        <v>421</v>
      </c>
      <c r="C23" s="544" t="s">
        <v>422</v>
      </c>
      <c r="D23" s="544" t="s">
        <v>423</v>
      </c>
      <c r="E23" s="545">
        <v>37.43</v>
      </c>
      <c r="F23" s="546">
        <v>0</v>
      </c>
      <c r="G23" s="546">
        <v>0</v>
      </c>
      <c r="H23" s="546">
        <v>0</v>
      </c>
      <c r="I23" s="546">
        <v>0</v>
      </c>
      <c r="J23" s="546">
        <v>0</v>
      </c>
      <c r="K23" s="546">
        <v>0</v>
      </c>
      <c r="L23" s="546">
        <v>187.15</v>
      </c>
      <c r="M23" s="546">
        <v>146.4</v>
      </c>
      <c r="N23" s="546">
        <v>254.81</v>
      </c>
      <c r="O23" s="546">
        <v>262.01</v>
      </c>
      <c r="P23" s="546">
        <v>105.63999999999999</v>
      </c>
      <c r="Q23" s="546">
        <v>0</v>
      </c>
      <c r="R23" s="547">
        <v>956.01</v>
      </c>
      <c r="S23" s="548">
        <v>26</v>
      </c>
      <c r="T23" s="553">
        <f>T22</f>
        <v>39.198871129914373</v>
      </c>
      <c r="U23" s="555">
        <f t="shared" si="0"/>
        <v>1019.1706493777737</v>
      </c>
      <c r="V23" s="555"/>
    </row>
    <row r="24" spans="1:22" ht="14.4" x14ac:dyDescent="0.3">
      <c r="A24" s="544" t="s">
        <v>420</v>
      </c>
      <c r="B24" s="544" t="s">
        <v>69</v>
      </c>
      <c r="C24" s="544" t="s">
        <v>422</v>
      </c>
      <c r="D24" s="544" t="s">
        <v>424</v>
      </c>
      <c r="E24" s="545">
        <v>17.25</v>
      </c>
      <c r="F24" s="546">
        <v>1503.6399999999999</v>
      </c>
      <c r="G24" s="546">
        <v>1138.5</v>
      </c>
      <c r="H24" s="546">
        <v>809</v>
      </c>
      <c r="I24" s="546">
        <v>1352.18</v>
      </c>
      <c r="J24" s="546">
        <v>1025</v>
      </c>
      <c r="K24" s="546">
        <v>630.5</v>
      </c>
      <c r="L24" s="546">
        <v>0</v>
      </c>
      <c r="M24" s="546">
        <v>0</v>
      </c>
      <c r="N24" s="546">
        <v>0</v>
      </c>
      <c r="O24" s="546">
        <v>0</v>
      </c>
      <c r="P24" s="546">
        <v>0</v>
      </c>
      <c r="Q24" s="546">
        <v>0</v>
      </c>
      <c r="R24" s="547">
        <v>6458.82</v>
      </c>
      <c r="S24" s="548">
        <v>382</v>
      </c>
      <c r="T24" s="553">
        <f>T7</f>
        <v>19.599435564957187</v>
      </c>
      <c r="U24" s="555">
        <f t="shared" si="0"/>
        <v>7486.9843858136455</v>
      </c>
      <c r="V24" s="555"/>
    </row>
    <row r="25" spans="1:22" ht="14.4" x14ac:dyDescent="0.3">
      <c r="A25" s="544" t="s">
        <v>420</v>
      </c>
      <c r="B25" s="544" t="s">
        <v>69</v>
      </c>
      <c r="C25" s="544" t="s">
        <v>422</v>
      </c>
      <c r="D25" s="544" t="s">
        <v>424</v>
      </c>
      <c r="E25" s="545">
        <v>18.71</v>
      </c>
      <c r="F25" s="546">
        <v>0</v>
      </c>
      <c r="G25" s="546">
        <v>0</v>
      </c>
      <c r="H25" s="546">
        <v>0</v>
      </c>
      <c r="I25" s="546">
        <v>0</v>
      </c>
      <c r="J25" s="546">
        <v>0</v>
      </c>
      <c r="K25" s="546">
        <v>0</v>
      </c>
      <c r="L25" s="546">
        <v>1309.7</v>
      </c>
      <c r="M25" s="546">
        <v>1047.76</v>
      </c>
      <c r="N25" s="546">
        <v>617.43000000000006</v>
      </c>
      <c r="O25" s="546">
        <v>860.66000000000008</v>
      </c>
      <c r="P25" s="546">
        <v>981.99</v>
      </c>
      <c r="Q25" s="546">
        <v>633.56000000000006</v>
      </c>
      <c r="R25" s="547">
        <v>5451.1</v>
      </c>
      <c r="S25" s="548">
        <v>295</v>
      </c>
      <c r="T25" s="553">
        <f>T24</f>
        <v>19.599435564957187</v>
      </c>
      <c r="U25" s="555">
        <f t="shared" si="0"/>
        <v>5781.8334916623699</v>
      </c>
      <c r="V25" s="555"/>
    </row>
    <row r="26" spans="1:22" ht="14.4" x14ac:dyDescent="0.3">
      <c r="A26" s="544" t="s">
        <v>420</v>
      </c>
      <c r="B26" s="544" t="s">
        <v>72</v>
      </c>
      <c r="C26" s="544" t="s">
        <v>422</v>
      </c>
      <c r="D26" s="544" t="s">
        <v>425</v>
      </c>
      <c r="E26" s="545">
        <v>17.25</v>
      </c>
      <c r="F26" s="546">
        <v>19642.59</v>
      </c>
      <c r="G26" s="546">
        <v>19595.7</v>
      </c>
      <c r="H26" s="546">
        <v>18075.560000000001</v>
      </c>
      <c r="I26" s="546">
        <v>23798.520000000004</v>
      </c>
      <c r="J26" s="546">
        <v>18205.86</v>
      </c>
      <c r="K26" s="546">
        <v>16870.21</v>
      </c>
      <c r="L26" s="546">
        <v>0</v>
      </c>
      <c r="M26" s="546">
        <v>0</v>
      </c>
      <c r="N26" s="546">
        <v>0</v>
      </c>
      <c r="O26" s="546">
        <v>0</v>
      </c>
      <c r="P26" s="546">
        <v>0</v>
      </c>
      <c r="Q26" s="546">
        <v>0</v>
      </c>
      <c r="R26" s="547">
        <v>116188.44</v>
      </c>
      <c r="S26" s="548">
        <v>6876</v>
      </c>
      <c r="T26" s="553">
        <f>T7</f>
        <v>19.599435564957187</v>
      </c>
      <c r="U26" s="555">
        <f t="shared" si="0"/>
        <v>134765.7189446456</v>
      </c>
      <c r="V26" s="555"/>
    </row>
    <row r="27" spans="1:22" ht="14.4" x14ac:dyDescent="0.3">
      <c r="A27" s="544" t="s">
        <v>420</v>
      </c>
      <c r="B27" s="544" t="s">
        <v>72</v>
      </c>
      <c r="C27" s="544" t="s">
        <v>422</v>
      </c>
      <c r="D27" s="544" t="s">
        <v>425</v>
      </c>
      <c r="E27" s="545">
        <v>18.71</v>
      </c>
      <c r="F27" s="546">
        <v>0</v>
      </c>
      <c r="G27" s="546">
        <v>0</v>
      </c>
      <c r="H27" s="546">
        <v>0</v>
      </c>
      <c r="I27" s="546">
        <v>0</v>
      </c>
      <c r="J27" s="546">
        <v>0</v>
      </c>
      <c r="K27" s="546">
        <v>0</v>
      </c>
      <c r="L27" s="546">
        <v>20887.240000000005</v>
      </c>
      <c r="M27" s="546">
        <v>15712.370000000004</v>
      </c>
      <c r="N27" s="546">
        <v>16850.560000000001</v>
      </c>
      <c r="O27" s="546">
        <v>18065.170000000002</v>
      </c>
      <c r="P27" s="546">
        <v>13843.110000000002</v>
      </c>
      <c r="Q27" s="546">
        <v>12232.47</v>
      </c>
      <c r="R27" s="547">
        <v>97590.920000000013</v>
      </c>
      <c r="S27" s="548">
        <v>5299</v>
      </c>
      <c r="T27" s="553">
        <f>T8</f>
        <v>19.599435564957187</v>
      </c>
      <c r="U27" s="555">
        <f t="shared" si="0"/>
        <v>103857.40905870813</v>
      </c>
      <c r="V27" s="555"/>
    </row>
    <row r="28" spans="1:22" ht="14.4" x14ac:dyDescent="0.3">
      <c r="A28" s="544" t="s">
        <v>420</v>
      </c>
      <c r="B28" s="544" t="s">
        <v>59</v>
      </c>
      <c r="C28" s="544" t="s">
        <v>422</v>
      </c>
      <c r="D28" s="544" t="s">
        <v>426</v>
      </c>
      <c r="E28" s="545">
        <v>4.6032999999999999</v>
      </c>
      <c r="F28" s="546">
        <v>4104.9699999999993</v>
      </c>
      <c r="G28" s="546">
        <v>3439.71</v>
      </c>
      <c r="H28" s="546">
        <v>3187.85</v>
      </c>
      <c r="I28" s="546">
        <v>4096.6899999999996</v>
      </c>
      <c r="J28" s="546">
        <v>3451.94</v>
      </c>
      <c r="K28" s="546">
        <v>2573.9999999999995</v>
      </c>
      <c r="L28" s="546">
        <v>0</v>
      </c>
      <c r="M28" s="546">
        <v>0</v>
      </c>
      <c r="N28" s="546">
        <v>0</v>
      </c>
      <c r="O28" s="546">
        <v>0</v>
      </c>
      <c r="P28" s="546">
        <v>0</v>
      </c>
      <c r="Q28" s="546">
        <v>0</v>
      </c>
      <c r="R28" s="547">
        <v>20855.159999999996</v>
      </c>
      <c r="S28" s="548">
        <v>4747</v>
      </c>
      <c r="T28" s="553">
        <f>'Outpatient Counseling '!R12</f>
        <v>5.8798306694871556</v>
      </c>
      <c r="U28" s="555">
        <f t="shared" si="0"/>
        <v>27911.556188055529</v>
      </c>
      <c r="V28" s="555"/>
    </row>
    <row r="29" spans="1:22" ht="14.4" x14ac:dyDescent="0.3">
      <c r="A29" s="544" t="s">
        <v>420</v>
      </c>
      <c r="B29" s="544" t="s">
        <v>59</v>
      </c>
      <c r="C29" s="544" t="s">
        <v>422</v>
      </c>
      <c r="D29" s="544" t="s">
        <v>426</v>
      </c>
      <c r="E29" s="545">
        <v>5.61</v>
      </c>
      <c r="F29" s="546">
        <v>0</v>
      </c>
      <c r="G29" s="546">
        <v>0</v>
      </c>
      <c r="H29" s="546">
        <v>0</v>
      </c>
      <c r="I29" s="546">
        <v>0</v>
      </c>
      <c r="J29" s="546">
        <v>0</v>
      </c>
      <c r="K29" s="546">
        <v>0</v>
      </c>
      <c r="L29" s="546">
        <v>5121.9000000000005</v>
      </c>
      <c r="M29" s="546">
        <v>3351.7100000000005</v>
      </c>
      <c r="N29" s="546">
        <v>3692.61</v>
      </c>
      <c r="O29" s="546">
        <v>4554.2100000000009</v>
      </c>
      <c r="P29" s="546">
        <v>3007.5499999999993</v>
      </c>
      <c r="Q29" s="546">
        <v>2424.0100000000002</v>
      </c>
      <c r="R29" s="547">
        <v>22151.989999999998</v>
      </c>
      <c r="S29" s="548">
        <v>4105</v>
      </c>
      <c r="T29" s="553">
        <f>T28</f>
        <v>5.8798306694871556</v>
      </c>
      <c r="U29" s="555">
        <f t="shared" si="0"/>
        <v>24136.704898244774</v>
      </c>
      <c r="V29" s="555"/>
    </row>
    <row r="30" spans="1:22" ht="14.4" x14ac:dyDescent="0.3">
      <c r="A30" s="544" t="s">
        <v>420</v>
      </c>
      <c r="B30" s="544" t="s">
        <v>409</v>
      </c>
      <c r="C30" s="544" t="s">
        <v>422</v>
      </c>
      <c r="D30" s="544" t="s">
        <v>410</v>
      </c>
      <c r="E30" s="545">
        <v>13.18</v>
      </c>
      <c r="F30" s="546">
        <v>743.91</v>
      </c>
      <c r="G30" s="546">
        <v>474.48</v>
      </c>
      <c r="H30" s="546">
        <v>659</v>
      </c>
      <c r="I30" s="546">
        <v>1186.2</v>
      </c>
      <c r="J30" s="546">
        <v>1238.92</v>
      </c>
      <c r="K30" s="546">
        <v>698.54</v>
      </c>
      <c r="L30" s="546">
        <v>0</v>
      </c>
      <c r="M30" s="546">
        <v>0</v>
      </c>
      <c r="N30" s="546">
        <v>0</v>
      </c>
      <c r="O30" s="546">
        <v>0</v>
      </c>
      <c r="P30" s="546">
        <v>0</v>
      </c>
      <c r="Q30" s="546">
        <v>0</v>
      </c>
      <c r="R30" s="547">
        <v>5001.05</v>
      </c>
      <c r="S30" s="548">
        <v>380</v>
      </c>
      <c r="T30" s="553">
        <f>'Case Management'!L24</f>
        <v>16.220952789599341</v>
      </c>
      <c r="U30" s="555">
        <f t="shared" si="0"/>
        <v>6163.9620600477492</v>
      </c>
      <c r="V30" s="555"/>
    </row>
    <row r="31" spans="1:22" ht="14.4" x14ac:dyDescent="0.3">
      <c r="A31" s="544" t="s">
        <v>420</v>
      </c>
      <c r="B31" s="544" t="s">
        <v>409</v>
      </c>
      <c r="C31" s="544" t="s">
        <v>422</v>
      </c>
      <c r="D31" s="544" t="s">
        <v>410</v>
      </c>
      <c r="E31" s="545">
        <v>14.7</v>
      </c>
      <c r="F31" s="546">
        <v>0</v>
      </c>
      <c r="G31" s="546">
        <v>0</v>
      </c>
      <c r="H31" s="546">
        <v>0</v>
      </c>
      <c r="I31" s="546">
        <v>0</v>
      </c>
      <c r="J31" s="546">
        <v>0</v>
      </c>
      <c r="K31" s="546">
        <v>0</v>
      </c>
      <c r="L31" s="546">
        <v>926.1</v>
      </c>
      <c r="M31" s="546">
        <v>689.26</v>
      </c>
      <c r="N31" s="546">
        <v>1271.6999999999998</v>
      </c>
      <c r="O31" s="546">
        <v>1146.5999999999999</v>
      </c>
      <c r="P31" s="546">
        <v>1861</v>
      </c>
      <c r="Q31" s="546">
        <v>1346.5</v>
      </c>
      <c r="R31" s="547">
        <v>7241.16</v>
      </c>
      <c r="S31" s="548">
        <v>500</v>
      </c>
      <c r="T31" s="553">
        <f>T30</f>
        <v>16.220952789599341</v>
      </c>
      <c r="U31" s="555">
        <f t="shared" si="0"/>
        <v>8110.4763947996707</v>
      </c>
      <c r="V31" s="555"/>
    </row>
    <row r="32" spans="1:22" ht="14.4" x14ac:dyDescent="0.3">
      <c r="A32" s="544" t="s">
        <v>420</v>
      </c>
      <c r="B32" s="544" t="s">
        <v>411</v>
      </c>
      <c r="C32" s="544" t="s">
        <v>422</v>
      </c>
      <c r="D32" s="544" t="s">
        <v>412</v>
      </c>
      <c r="E32" s="545">
        <v>20.38</v>
      </c>
      <c r="F32" s="546">
        <v>2221.42</v>
      </c>
      <c r="G32" s="546">
        <v>2302.94</v>
      </c>
      <c r="H32" s="546">
        <v>2042.61</v>
      </c>
      <c r="I32" s="546">
        <v>1915.7199999999998</v>
      </c>
      <c r="J32" s="546">
        <v>3729.54</v>
      </c>
      <c r="K32" s="546">
        <v>1039.3800000000001</v>
      </c>
      <c r="L32" s="546">
        <v>0</v>
      </c>
      <c r="M32" s="546">
        <v>0</v>
      </c>
      <c r="N32" s="546">
        <v>0</v>
      </c>
      <c r="O32" s="546">
        <v>0</v>
      </c>
      <c r="P32" s="546">
        <v>0</v>
      </c>
      <c r="Q32" s="546">
        <v>0</v>
      </c>
      <c r="R32" s="547">
        <v>13251.61</v>
      </c>
      <c r="S32" s="548">
        <v>651</v>
      </c>
      <c r="T32" s="553">
        <f>'Case Management'!F24</f>
        <v>20.14226865397033</v>
      </c>
      <c r="U32" s="555">
        <f t="shared" si="0"/>
        <v>13112.616893734685</v>
      </c>
      <c r="V32" s="555"/>
    </row>
    <row r="33" spans="1:22" ht="14.4" x14ac:dyDescent="0.3">
      <c r="A33" s="544" t="s">
        <v>420</v>
      </c>
      <c r="B33" s="544" t="s">
        <v>411</v>
      </c>
      <c r="C33" s="544" t="s">
        <v>422</v>
      </c>
      <c r="D33" s="544" t="s">
        <v>412</v>
      </c>
      <c r="E33" s="545">
        <v>20.93</v>
      </c>
      <c r="F33" s="546">
        <v>0</v>
      </c>
      <c r="G33" s="546">
        <v>0</v>
      </c>
      <c r="H33" s="546">
        <v>0</v>
      </c>
      <c r="I33" s="546">
        <v>0</v>
      </c>
      <c r="J33" s="546">
        <v>0</v>
      </c>
      <c r="K33" s="546">
        <v>0</v>
      </c>
      <c r="L33" s="546">
        <v>1381.38</v>
      </c>
      <c r="M33" s="546">
        <v>1465.1</v>
      </c>
      <c r="N33" s="546">
        <v>1444.17</v>
      </c>
      <c r="O33" s="546">
        <v>1193.01</v>
      </c>
      <c r="P33" s="546">
        <v>858.13</v>
      </c>
      <c r="Q33" s="546">
        <v>83.72</v>
      </c>
      <c r="R33" s="547">
        <v>6425.51</v>
      </c>
      <c r="S33" s="548">
        <v>307</v>
      </c>
      <c r="T33" s="553">
        <f>T32</f>
        <v>20.14226865397033</v>
      </c>
      <c r="U33" s="555">
        <f t="shared" si="0"/>
        <v>6183.676476768891</v>
      </c>
      <c r="V33" s="555"/>
    </row>
    <row r="34" spans="1:22" ht="14.4" x14ac:dyDescent="0.3">
      <c r="A34" s="544" t="s">
        <v>420</v>
      </c>
      <c r="B34" s="544" t="s">
        <v>92</v>
      </c>
      <c r="C34" s="544" t="s">
        <v>422</v>
      </c>
      <c r="D34" s="544" t="s">
        <v>415</v>
      </c>
      <c r="E34" s="545">
        <v>3.7</v>
      </c>
      <c r="F34" s="546">
        <v>1864.8</v>
      </c>
      <c r="G34" s="546">
        <v>1783.3999999999999</v>
      </c>
      <c r="H34" s="546">
        <v>1687.2</v>
      </c>
      <c r="I34" s="546">
        <v>1694.6</v>
      </c>
      <c r="J34" s="546">
        <v>1110</v>
      </c>
      <c r="K34" s="546">
        <v>1450.4</v>
      </c>
      <c r="L34" s="546">
        <v>0</v>
      </c>
      <c r="M34" s="546">
        <v>0</v>
      </c>
      <c r="N34" s="546">
        <v>0</v>
      </c>
      <c r="O34" s="546">
        <v>0</v>
      </c>
      <c r="P34" s="546">
        <v>0</v>
      </c>
      <c r="Q34" s="546">
        <v>0</v>
      </c>
      <c r="R34" s="547">
        <v>9590.4</v>
      </c>
      <c r="S34" s="548">
        <v>2592</v>
      </c>
      <c r="T34" s="553">
        <f>Psycho.Ed!F25</f>
        <v>4.2564858895456172</v>
      </c>
      <c r="U34" s="555">
        <f t="shared" si="0"/>
        <v>11032.811425702241</v>
      </c>
      <c r="V34" s="555"/>
    </row>
    <row r="35" spans="1:22" ht="14.4" x14ac:dyDescent="0.3">
      <c r="A35" s="544" t="s">
        <v>420</v>
      </c>
      <c r="B35" s="544" t="s">
        <v>92</v>
      </c>
      <c r="C35" s="544" t="s">
        <v>422</v>
      </c>
      <c r="D35" s="544" t="s">
        <v>415</v>
      </c>
      <c r="E35" s="545">
        <v>3.89</v>
      </c>
      <c r="F35" s="546">
        <v>0</v>
      </c>
      <c r="G35" s="546">
        <v>0</v>
      </c>
      <c r="H35" s="546">
        <v>0</v>
      </c>
      <c r="I35" s="546">
        <v>0</v>
      </c>
      <c r="J35" s="546">
        <v>0</v>
      </c>
      <c r="K35" s="546">
        <v>0</v>
      </c>
      <c r="L35" s="546">
        <v>1050.3</v>
      </c>
      <c r="M35" s="546">
        <v>1664.92</v>
      </c>
      <c r="N35" s="546">
        <v>1696.04</v>
      </c>
      <c r="O35" s="546">
        <v>2723</v>
      </c>
      <c r="P35" s="546">
        <v>2863.04</v>
      </c>
      <c r="Q35" s="546">
        <v>2785.24</v>
      </c>
      <c r="R35" s="547">
        <v>12782.539999999999</v>
      </c>
      <c r="S35" s="548">
        <v>3286</v>
      </c>
      <c r="T35" s="553">
        <f>T34</f>
        <v>4.2564858895456172</v>
      </c>
      <c r="U35" s="555">
        <f t="shared" si="0"/>
        <v>13986.812633046899</v>
      </c>
      <c r="V35" s="555"/>
    </row>
    <row r="36" spans="1:22" ht="14.4" x14ac:dyDescent="0.3">
      <c r="A36" s="544" t="s">
        <v>420</v>
      </c>
      <c r="B36" s="544" t="s">
        <v>427</v>
      </c>
      <c r="C36" s="544" t="s">
        <v>422</v>
      </c>
      <c r="D36" s="544" t="s">
        <v>428</v>
      </c>
      <c r="E36" s="545">
        <v>18.649999999999999</v>
      </c>
      <c r="F36" s="546">
        <v>18.649999999999999</v>
      </c>
      <c r="G36" s="546">
        <v>18.649999999999999</v>
      </c>
      <c r="H36" s="546">
        <v>0</v>
      </c>
      <c r="I36" s="546">
        <v>0</v>
      </c>
      <c r="J36" s="546">
        <v>0</v>
      </c>
      <c r="K36" s="546">
        <v>18.649999999999999</v>
      </c>
      <c r="L36" s="546">
        <v>0</v>
      </c>
      <c r="M36" s="546">
        <v>0</v>
      </c>
      <c r="N36" s="546">
        <v>0</v>
      </c>
      <c r="O36" s="546">
        <v>0</v>
      </c>
      <c r="P36" s="546">
        <v>0</v>
      </c>
      <c r="Q36" s="546">
        <v>0</v>
      </c>
      <c r="R36" s="547">
        <v>55.949999999999996</v>
      </c>
      <c r="S36" s="548">
        <v>3</v>
      </c>
      <c r="T36" s="553">
        <f>Family.Couple!H24</f>
        <v>0</v>
      </c>
      <c r="U36" s="555">
        <f t="shared" si="0"/>
        <v>0</v>
      </c>
      <c r="V36" s="555"/>
    </row>
    <row r="37" spans="1:22" ht="14.4" x14ac:dyDescent="0.3">
      <c r="A37" s="544" t="s">
        <v>429</v>
      </c>
      <c r="B37" s="544" t="s">
        <v>409</v>
      </c>
      <c r="C37" s="544" t="s">
        <v>430</v>
      </c>
      <c r="D37" s="544" t="s">
        <v>410</v>
      </c>
      <c r="E37" s="545">
        <v>13.18</v>
      </c>
      <c r="F37" s="546">
        <v>7855.2800000000007</v>
      </c>
      <c r="G37" s="546">
        <v>4402.12</v>
      </c>
      <c r="H37" s="546">
        <v>3479.5199999999995</v>
      </c>
      <c r="I37" s="546">
        <v>3255.46</v>
      </c>
      <c r="J37" s="546">
        <v>6273.6799999999994</v>
      </c>
      <c r="K37" s="546">
        <v>7314.9</v>
      </c>
      <c r="L37" s="546">
        <v>0</v>
      </c>
      <c r="M37" s="546">
        <v>0</v>
      </c>
      <c r="N37" s="546">
        <v>0</v>
      </c>
      <c r="O37" s="546">
        <v>0</v>
      </c>
      <c r="P37" s="546">
        <v>0</v>
      </c>
      <c r="Q37" s="546">
        <v>0</v>
      </c>
      <c r="R37" s="547">
        <v>32580.959999999999</v>
      </c>
      <c r="S37" s="548">
        <v>2472</v>
      </c>
      <c r="T37" s="553">
        <f>T30</f>
        <v>16.220952789599341</v>
      </c>
      <c r="U37" s="555">
        <f t="shared" si="0"/>
        <v>40098.195295889571</v>
      </c>
      <c r="V37" s="555"/>
    </row>
    <row r="38" spans="1:22" ht="14.4" x14ac:dyDescent="0.3">
      <c r="A38" s="544" t="s">
        <v>429</v>
      </c>
      <c r="B38" s="544" t="s">
        <v>409</v>
      </c>
      <c r="C38" s="544" t="s">
        <v>430</v>
      </c>
      <c r="D38" s="544" t="s">
        <v>410</v>
      </c>
      <c r="E38" s="545">
        <v>14.7</v>
      </c>
      <c r="F38" s="546">
        <v>0</v>
      </c>
      <c r="G38" s="546">
        <v>0</v>
      </c>
      <c r="H38" s="546">
        <v>0</v>
      </c>
      <c r="I38" s="546">
        <v>0</v>
      </c>
      <c r="J38" s="546">
        <v>0</v>
      </c>
      <c r="K38" s="546">
        <v>0</v>
      </c>
      <c r="L38" s="546">
        <v>8731.7999999999993</v>
      </c>
      <c r="M38" s="546">
        <v>5571.2999999999993</v>
      </c>
      <c r="N38" s="546">
        <v>5218.5</v>
      </c>
      <c r="O38" s="546">
        <v>5541.9</v>
      </c>
      <c r="P38" s="546">
        <v>7864.5</v>
      </c>
      <c r="Q38" s="546">
        <v>5365.5</v>
      </c>
      <c r="R38" s="547">
        <v>38293.5</v>
      </c>
      <c r="S38" s="548">
        <v>2605</v>
      </c>
      <c r="T38" s="553">
        <f>T37</f>
        <v>16.220952789599341</v>
      </c>
      <c r="U38" s="555">
        <f t="shared" si="0"/>
        <v>42255.582016906286</v>
      </c>
      <c r="V38" s="555"/>
    </row>
    <row r="39" spans="1:22" ht="14.4" x14ac:dyDescent="0.3">
      <c r="A39" s="544" t="s">
        <v>431</v>
      </c>
      <c r="B39" s="544" t="s">
        <v>59</v>
      </c>
      <c r="C39" s="544" t="s">
        <v>432</v>
      </c>
      <c r="D39" s="544" t="s">
        <v>426</v>
      </c>
      <c r="E39" s="545">
        <v>4.6032999999999999</v>
      </c>
      <c r="F39" s="546">
        <v>1767.36</v>
      </c>
      <c r="G39" s="546">
        <v>1178.24</v>
      </c>
      <c r="H39" s="546">
        <v>1086.19</v>
      </c>
      <c r="I39" s="546">
        <v>883.68</v>
      </c>
      <c r="J39" s="546">
        <v>1012.55</v>
      </c>
      <c r="K39" s="546">
        <v>533.89</v>
      </c>
      <c r="L39" s="546">
        <v>0</v>
      </c>
      <c r="M39" s="546">
        <v>0</v>
      </c>
      <c r="N39" s="546">
        <v>0</v>
      </c>
      <c r="O39" s="546">
        <v>0</v>
      </c>
      <c r="P39" s="546">
        <v>0</v>
      </c>
      <c r="Q39" s="546">
        <v>0</v>
      </c>
      <c r="R39" s="547">
        <v>6461.9100000000008</v>
      </c>
      <c r="S39" s="548">
        <v>1404</v>
      </c>
      <c r="T39" s="553">
        <f>T29</f>
        <v>5.8798306694871556</v>
      </c>
      <c r="U39" s="555">
        <f t="shared" si="0"/>
        <v>8255.2822599599658</v>
      </c>
      <c r="V39" s="555"/>
    </row>
    <row r="40" spans="1:22" ht="14.4" x14ac:dyDescent="0.3">
      <c r="A40" s="544" t="s">
        <v>431</v>
      </c>
      <c r="B40" s="544" t="s">
        <v>59</v>
      </c>
      <c r="C40" s="544" t="s">
        <v>432</v>
      </c>
      <c r="D40" s="544" t="s">
        <v>426</v>
      </c>
      <c r="E40" s="545">
        <v>5.61</v>
      </c>
      <c r="F40" s="546">
        <v>0</v>
      </c>
      <c r="G40" s="546">
        <v>0</v>
      </c>
      <c r="H40" s="546">
        <v>0</v>
      </c>
      <c r="I40" s="546">
        <v>0</v>
      </c>
      <c r="J40" s="546">
        <v>0</v>
      </c>
      <c r="K40" s="546">
        <v>0</v>
      </c>
      <c r="L40" s="546">
        <v>1615.68</v>
      </c>
      <c r="M40" s="546">
        <v>1907.4</v>
      </c>
      <c r="N40" s="546">
        <v>1099.56</v>
      </c>
      <c r="O40" s="546">
        <v>830.28</v>
      </c>
      <c r="P40" s="546">
        <v>1795.2</v>
      </c>
      <c r="Q40" s="546">
        <v>1211.76</v>
      </c>
      <c r="R40" s="547">
        <v>8459.8799999999992</v>
      </c>
      <c r="S40" s="548">
        <v>1508</v>
      </c>
      <c r="T40" s="553">
        <f>T39</f>
        <v>5.8798306694871556</v>
      </c>
      <c r="U40" s="555">
        <f t="shared" si="0"/>
        <v>8866.7846495866306</v>
      </c>
      <c r="V40" s="555"/>
    </row>
    <row r="41" spans="1:22" ht="14.4" x14ac:dyDescent="0.3">
      <c r="A41" s="544" t="s">
        <v>433</v>
      </c>
      <c r="B41" s="544" t="s">
        <v>69</v>
      </c>
      <c r="C41" s="544" t="s">
        <v>434</v>
      </c>
      <c r="D41" s="544" t="s">
        <v>424</v>
      </c>
      <c r="E41" s="545">
        <v>17.25</v>
      </c>
      <c r="F41" s="546">
        <v>1138.5</v>
      </c>
      <c r="G41" s="546">
        <v>828</v>
      </c>
      <c r="H41" s="546">
        <v>966</v>
      </c>
      <c r="I41" s="546">
        <v>931.5</v>
      </c>
      <c r="J41" s="546">
        <v>1069.5</v>
      </c>
      <c r="K41" s="546">
        <v>810.75</v>
      </c>
      <c r="L41" s="546">
        <v>0</v>
      </c>
      <c r="M41" s="546">
        <v>0</v>
      </c>
      <c r="N41" s="546">
        <v>0</v>
      </c>
      <c r="O41" s="546">
        <v>0</v>
      </c>
      <c r="P41" s="546">
        <v>0</v>
      </c>
      <c r="Q41" s="546">
        <v>0</v>
      </c>
      <c r="R41" s="547">
        <v>5744.25</v>
      </c>
      <c r="S41" s="548">
        <v>333</v>
      </c>
      <c r="T41" s="553">
        <f>T26</f>
        <v>19.599435564957187</v>
      </c>
      <c r="U41" s="555">
        <f t="shared" si="0"/>
        <v>6526.6120431307427</v>
      </c>
      <c r="V41" s="555"/>
    </row>
    <row r="42" spans="1:22" ht="14.4" x14ac:dyDescent="0.3">
      <c r="A42" s="544" t="s">
        <v>433</v>
      </c>
      <c r="B42" s="544" t="s">
        <v>69</v>
      </c>
      <c r="C42" s="544" t="s">
        <v>434</v>
      </c>
      <c r="D42" s="544" t="s">
        <v>424</v>
      </c>
      <c r="E42" s="545">
        <v>18.71</v>
      </c>
      <c r="F42" s="546">
        <v>0</v>
      </c>
      <c r="G42" s="546">
        <v>0</v>
      </c>
      <c r="H42" s="546">
        <v>0</v>
      </c>
      <c r="I42" s="546">
        <v>0</v>
      </c>
      <c r="J42" s="546">
        <v>0</v>
      </c>
      <c r="K42" s="546">
        <v>0</v>
      </c>
      <c r="L42" s="546">
        <v>1983.26</v>
      </c>
      <c r="M42" s="546">
        <v>1122.5999999999999</v>
      </c>
      <c r="N42" s="546">
        <v>1721.32</v>
      </c>
      <c r="O42" s="546">
        <v>1609.06</v>
      </c>
      <c r="P42" s="546">
        <v>1496.8</v>
      </c>
      <c r="Q42" s="546">
        <v>1721.3200000000002</v>
      </c>
      <c r="R42" s="547">
        <v>9654.36</v>
      </c>
      <c r="S42" s="548">
        <v>516</v>
      </c>
      <c r="T42" s="553">
        <f>T41</f>
        <v>19.599435564957187</v>
      </c>
      <c r="U42" s="555">
        <f t="shared" si="0"/>
        <v>10113.308751517909</v>
      </c>
      <c r="V42" s="555"/>
    </row>
    <row r="43" spans="1:22" ht="14.4" x14ac:dyDescent="0.3">
      <c r="A43" s="544" t="s">
        <v>433</v>
      </c>
      <c r="B43" s="544" t="s">
        <v>409</v>
      </c>
      <c r="C43" s="544" t="s">
        <v>434</v>
      </c>
      <c r="D43" s="544" t="s">
        <v>410</v>
      </c>
      <c r="E43" s="545">
        <v>13.18</v>
      </c>
      <c r="F43" s="546">
        <v>18596.98</v>
      </c>
      <c r="G43" s="546">
        <v>21786.54</v>
      </c>
      <c r="H43" s="546">
        <v>18689.240000000002</v>
      </c>
      <c r="I43" s="546">
        <v>20863.940000000002</v>
      </c>
      <c r="J43" s="546">
        <v>22168.76</v>
      </c>
      <c r="K43" s="546">
        <v>18847.399999999998</v>
      </c>
      <c r="L43" s="546">
        <v>0</v>
      </c>
      <c r="M43" s="546">
        <v>0</v>
      </c>
      <c r="N43" s="546">
        <v>0</v>
      </c>
      <c r="O43" s="546">
        <v>0</v>
      </c>
      <c r="P43" s="546">
        <v>0</v>
      </c>
      <c r="Q43" s="546">
        <v>0</v>
      </c>
      <c r="R43" s="547">
        <v>120952.86</v>
      </c>
      <c r="S43" s="548">
        <v>9177</v>
      </c>
      <c r="T43" s="553">
        <f>T30</f>
        <v>16.220952789599341</v>
      </c>
      <c r="U43" s="555">
        <f t="shared" si="0"/>
        <v>148859.68375015314</v>
      </c>
      <c r="V43" s="555"/>
    </row>
    <row r="44" spans="1:22" ht="14.4" x14ac:dyDescent="0.3">
      <c r="A44" s="544" t="s">
        <v>433</v>
      </c>
      <c r="B44" s="544" t="s">
        <v>409</v>
      </c>
      <c r="C44" s="544" t="s">
        <v>434</v>
      </c>
      <c r="D44" s="544" t="s">
        <v>410</v>
      </c>
      <c r="E44" s="545">
        <v>14.7</v>
      </c>
      <c r="F44" s="546">
        <v>0</v>
      </c>
      <c r="G44" s="546">
        <v>0</v>
      </c>
      <c r="H44" s="546">
        <v>0</v>
      </c>
      <c r="I44" s="546">
        <v>0</v>
      </c>
      <c r="J44" s="546">
        <v>0</v>
      </c>
      <c r="K44" s="546">
        <v>0</v>
      </c>
      <c r="L44" s="546">
        <v>23475.9</v>
      </c>
      <c r="M44" s="546">
        <v>21726.6</v>
      </c>
      <c r="N44" s="546">
        <v>23799.3</v>
      </c>
      <c r="O44" s="546">
        <v>23916.9</v>
      </c>
      <c r="P44" s="546">
        <v>22270.5</v>
      </c>
      <c r="Q44" s="546">
        <v>25225.200000000001</v>
      </c>
      <c r="R44" s="547">
        <v>140414.40000000002</v>
      </c>
      <c r="S44" s="548">
        <v>9552</v>
      </c>
      <c r="T44" s="553">
        <f>T43</f>
        <v>16.220952789599341</v>
      </c>
      <c r="U44" s="555">
        <f t="shared" si="0"/>
        <v>154942.54104625291</v>
      </c>
      <c r="V44" s="555"/>
    </row>
    <row r="45" spans="1:22" ht="14.4" x14ac:dyDescent="0.3">
      <c r="A45" s="544" t="s">
        <v>433</v>
      </c>
      <c r="B45" s="544" t="s">
        <v>411</v>
      </c>
      <c r="C45" s="544" t="s">
        <v>434</v>
      </c>
      <c r="D45" s="544" t="s">
        <v>412</v>
      </c>
      <c r="E45" s="545">
        <v>20.38</v>
      </c>
      <c r="F45" s="546">
        <v>7071.8600000000006</v>
      </c>
      <c r="G45" s="546">
        <v>6073.24</v>
      </c>
      <c r="H45" s="546">
        <v>4789.3</v>
      </c>
      <c r="I45" s="546">
        <v>5380.32</v>
      </c>
      <c r="J45" s="546">
        <v>5278.42</v>
      </c>
      <c r="K45" s="546">
        <v>5604.5</v>
      </c>
      <c r="L45" s="546">
        <v>0</v>
      </c>
      <c r="M45" s="546">
        <v>0</v>
      </c>
      <c r="N45" s="546">
        <v>0</v>
      </c>
      <c r="O45" s="546">
        <v>0</v>
      </c>
      <c r="P45" s="546">
        <v>0</v>
      </c>
      <c r="Q45" s="546">
        <v>0</v>
      </c>
      <c r="R45" s="547">
        <v>34197.64</v>
      </c>
      <c r="S45" s="548">
        <v>1678</v>
      </c>
      <c r="T45" s="553">
        <f>T33</f>
        <v>20.14226865397033</v>
      </c>
      <c r="U45" s="555">
        <f t="shared" si="0"/>
        <v>33798.726801362216</v>
      </c>
      <c r="V45" s="555"/>
    </row>
    <row r="46" spans="1:22" ht="14.4" x14ac:dyDescent="0.3">
      <c r="A46" s="544" t="s">
        <v>433</v>
      </c>
      <c r="B46" s="544" t="s">
        <v>411</v>
      </c>
      <c r="C46" s="544" t="s">
        <v>434</v>
      </c>
      <c r="D46" s="544" t="s">
        <v>412</v>
      </c>
      <c r="E46" s="545">
        <v>20.93</v>
      </c>
      <c r="F46" s="546">
        <v>0</v>
      </c>
      <c r="G46" s="546">
        <v>0</v>
      </c>
      <c r="H46" s="546">
        <v>0</v>
      </c>
      <c r="I46" s="546">
        <v>0</v>
      </c>
      <c r="J46" s="546">
        <v>0</v>
      </c>
      <c r="K46" s="546">
        <v>0</v>
      </c>
      <c r="L46" s="546">
        <v>6132.49</v>
      </c>
      <c r="M46" s="546">
        <v>4688.32</v>
      </c>
      <c r="N46" s="546">
        <v>6509.2300000000005</v>
      </c>
      <c r="O46" s="546">
        <v>7325.5</v>
      </c>
      <c r="P46" s="546">
        <v>8246.42</v>
      </c>
      <c r="Q46" s="546">
        <v>8832.4599999999991</v>
      </c>
      <c r="R46" s="547">
        <v>41734.42</v>
      </c>
      <c r="S46" s="548">
        <v>1994</v>
      </c>
      <c r="T46" s="553">
        <f>T45</f>
        <v>20.14226865397033</v>
      </c>
      <c r="U46" s="555">
        <f t="shared" si="0"/>
        <v>40163.683696016837</v>
      </c>
      <c r="V46" s="555"/>
    </row>
    <row r="47" spans="1:22" ht="14.4" x14ac:dyDescent="0.3">
      <c r="A47" s="544" t="s">
        <v>433</v>
      </c>
      <c r="B47" s="544" t="s">
        <v>413</v>
      </c>
      <c r="C47" s="544" t="s">
        <v>434</v>
      </c>
      <c r="D47" s="544" t="s">
        <v>318</v>
      </c>
      <c r="E47" s="545">
        <v>13.97</v>
      </c>
      <c r="F47" s="546">
        <v>0</v>
      </c>
      <c r="G47" s="546">
        <v>0</v>
      </c>
      <c r="H47" s="546">
        <v>0</v>
      </c>
      <c r="I47" s="546">
        <v>349.25</v>
      </c>
      <c r="J47" s="546">
        <v>223.52</v>
      </c>
      <c r="K47" s="546">
        <v>447.04</v>
      </c>
      <c r="L47" s="546">
        <v>0</v>
      </c>
      <c r="M47" s="546">
        <v>0</v>
      </c>
      <c r="N47" s="546">
        <v>0</v>
      </c>
      <c r="O47" s="546">
        <v>0</v>
      </c>
      <c r="P47" s="546">
        <v>0</v>
      </c>
      <c r="Q47" s="546">
        <v>0</v>
      </c>
      <c r="R47" s="547">
        <v>1019.81</v>
      </c>
      <c r="S47" s="548">
        <v>73</v>
      </c>
      <c r="T47" s="553">
        <f>T30</f>
        <v>16.220952789599341</v>
      </c>
      <c r="U47" s="555">
        <f t="shared" si="0"/>
        <v>1184.129553640752</v>
      </c>
      <c r="V47" s="555"/>
    </row>
    <row r="48" spans="1:22" ht="14.4" x14ac:dyDescent="0.3">
      <c r="A48" s="544" t="s">
        <v>433</v>
      </c>
      <c r="B48" s="544" t="s">
        <v>413</v>
      </c>
      <c r="C48" s="544" t="s">
        <v>434</v>
      </c>
      <c r="D48" s="544" t="s">
        <v>318</v>
      </c>
      <c r="E48" s="545">
        <v>14.57</v>
      </c>
      <c r="F48" s="546">
        <v>0</v>
      </c>
      <c r="G48" s="546">
        <v>0</v>
      </c>
      <c r="H48" s="546">
        <v>0</v>
      </c>
      <c r="I48" s="546">
        <v>0</v>
      </c>
      <c r="J48" s="546">
        <v>0</v>
      </c>
      <c r="K48" s="546">
        <v>0</v>
      </c>
      <c r="L48" s="546">
        <v>8669.15</v>
      </c>
      <c r="M48" s="546">
        <v>8465.17</v>
      </c>
      <c r="N48" s="546">
        <v>7124.73</v>
      </c>
      <c r="O48" s="546">
        <v>1325.87</v>
      </c>
      <c r="P48" s="546">
        <v>2214.6400000000003</v>
      </c>
      <c r="Q48" s="546">
        <v>1675.55</v>
      </c>
      <c r="R48" s="547">
        <v>29475.109999999997</v>
      </c>
      <c r="S48" s="548">
        <v>2023</v>
      </c>
      <c r="T48" s="553">
        <f>T47</f>
        <v>16.220952789599341</v>
      </c>
      <c r="U48" s="555">
        <f t="shared" si="0"/>
        <v>32814.987493359469</v>
      </c>
      <c r="V48" s="555"/>
    </row>
    <row r="49" spans="1:22" ht="14.4" x14ac:dyDescent="0.3">
      <c r="A49" s="544" t="s">
        <v>435</v>
      </c>
      <c r="B49" s="544" t="s">
        <v>69</v>
      </c>
      <c r="C49" s="544" t="s">
        <v>436</v>
      </c>
      <c r="D49" s="544" t="s">
        <v>424</v>
      </c>
      <c r="E49" s="545">
        <v>17.25</v>
      </c>
      <c r="F49" s="546">
        <v>0</v>
      </c>
      <c r="G49" s="546">
        <v>0</v>
      </c>
      <c r="H49" s="546">
        <v>69</v>
      </c>
      <c r="I49" s="546">
        <v>69</v>
      </c>
      <c r="J49" s="546">
        <v>103.5</v>
      </c>
      <c r="K49" s="546">
        <v>0</v>
      </c>
      <c r="L49" s="546">
        <v>0</v>
      </c>
      <c r="M49" s="546">
        <v>0</v>
      </c>
      <c r="N49" s="546">
        <v>0</v>
      </c>
      <c r="O49" s="546">
        <v>0</v>
      </c>
      <c r="P49" s="546">
        <v>0</v>
      </c>
      <c r="Q49" s="546">
        <v>0</v>
      </c>
      <c r="R49" s="547">
        <v>241.5</v>
      </c>
      <c r="S49" s="548">
        <v>14</v>
      </c>
      <c r="T49" s="553">
        <f>T41</f>
        <v>19.599435564957187</v>
      </c>
      <c r="U49" s="555">
        <f t="shared" si="0"/>
        <v>274.3920979094006</v>
      </c>
      <c r="V49" s="555"/>
    </row>
    <row r="50" spans="1:22" ht="14.4" x14ac:dyDescent="0.3">
      <c r="A50" s="544" t="s">
        <v>435</v>
      </c>
      <c r="B50" s="544" t="s">
        <v>69</v>
      </c>
      <c r="C50" s="544" t="s">
        <v>436</v>
      </c>
      <c r="D50" s="544" t="s">
        <v>424</v>
      </c>
      <c r="E50" s="545">
        <v>18.71</v>
      </c>
      <c r="F50" s="546">
        <v>0</v>
      </c>
      <c r="G50" s="546">
        <v>0</v>
      </c>
      <c r="H50" s="546">
        <v>0</v>
      </c>
      <c r="I50" s="546">
        <v>0</v>
      </c>
      <c r="J50" s="546">
        <v>0</v>
      </c>
      <c r="K50" s="546">
        <v>0</v>
      </c>
      <c r="L50" s="546">
        <v>74.84</v>
      </c>
      <c r="M50" s="546">
        <v>0</v>
      </c>
      <c r="N50" s="546">
        <v>0</v>
      </c>
      <c r="O50" s="546">
        <v>0</v>
      </c>
      <c r="P50" s="546">
        <v>93.55</v>
      </c>
      <c r="Q50" s="546">
        <v>0</v>
      </c>
      <c r="R50" s="547">
        <v>168.39</v>
      </c>
      <c r="S50" s="548">
        <v>9</v>
      </c>
      <c r="T50" s="553">
        <f>T49</f>
        <v>19.599435564957187</v>
      </c>
      <c r="U50" s="555">
        <f t="shared" si="0"/>
        <v>176.39492008461468</v>
      </c>
      <c r="V50" s="555"/>
    </row>
    <row r="51" spans="1:22" ht="14.4" x14ac:dyDescent="0.3">
      <c r="A51" s="544" t="s">
        <v>435</v>
      </c>
      <c r="B51" s="544" t="s">
        <v>437</v>
      </c>
      <c r="C51" s="544" t="s">
        <v>436</v>
      </c>
      <c r="D51" s="544" t="s">
        <v>425</v>
      </c>
      <c r="E51" s="545">
        <v>17.25</v>
      </c>
      <c r="F51" s="546">
        <v>1864.25</v>
      </c>
      <c r="G51" s="546">
        <v>978.25</v>
      </c>
      <c r="H51" s="546">
        <v>1396.1399999999999</v>
      </c>
      <c r="I51" s="546">
        <v>1690.7</v>
      </c>
      <c r="J51" s="546">
        <v>939.48</v>
      </c>
      <c r="K51" s="546">
        <v>875.16</v>
      </c>
      <c r="L51" s="546">
        <v>0</v>
      </c>
      <c r="M51" s="546">
        <v>0</v>
      </c>
      <c r="N51" s="546">
        <v>0</v>
      </c>
      <c r="O51" s="546">
        <v>0</v>
      </c>
      <c r="P51" s="546">
        <v>0</v>
      </c>
      <c r="Q51" s="546">
        <v>0</v>
      </c>
      <c r="R51" s="547">
        <v>7743.98</v>
      </c>
      <c r="S51" s="548">
        <v>487</v>
      </c>
      <c r="T51" s="553">
        <f>T50</f>
        <v>19.599435564957187</v>
      </c>
      <c r="U51" s="555">
        <f t="shared" si="0"/>
        <v>9544.9251201341503</v>
      </c>
      <c r="V51" s="555"/>
    </row>
    <row r="52" spans="1:22" ht="14.4" x14ac:dyDescent="0.3">
      <c r="A52" s="544" t="s">
        <v>435</v>
      </c>
      <c r="B52" s="544" t="s">
        <v>437</v>
      </c>
      <c r="C52" s="544" t="s">
        <v>436</v>
      </c>
      <c r="D52" s="544" t="s">
        <v>425</v>
      </c>
      <c r="E52" s="545">
        <v>18.71</v>
      </c>
      <c r="F52" s="546">
        <v>0</v>
      </c>
      <c r="G52" s="546">
        <v>0</v>
      </c>
      <c r="H52" s="546">
        <v>0</v>
      </c>
      <c r="I52" s="546">
        <v>0</v>
      </c>
      <c r="J52" s="546">
        <v>0</v>
      </c>
      <c r="K52" s="546">
        <v>0</v>
      </c>
      <c r="L52" s="546">
        <v>1365.85</v>
      </c>
      <c r="M52" s="546">
        <v>292.36</v>
      </c>
      <c r="N52" s="546">
        <v>946.34</v>
      </c>
      <c r="O52" s="546">
        <v>486.30000000000007</v>
      </c>
      <c r="P52" s="546">
        <v>508.88</v>
      </c>
      <c r="Q52" s="546">
        <v>306.78000000000003</v>
      </c>
      <c r="R52" s="547">
        <v>3906.5100000000007</v>
      </c>
      <c r="S52" s="548">
        <v>224</v>
      </c>
      <c r="T52" s="553">
        <f>T51</f>
        <v>19.599435564957187</v>
      </c>
      <c r="U52" s="555">
        <f t="shared" si="0"/>
        <v>4390.2735665504097</v>
      </c>
      <c r="V52" s="555"/>
    </row>
    <row r="53" spans="1:22" ht="14.4" x14ac:dyDescent="0.3">
      <c r="A53" s="544" t="s">
        <v>435</v>
      </c>
      <c r="B53" s="544" t="s">
        <v>438</v>
      </c>
      <c r="C53" s="544" t="s">
        <v>436</v>
      </c>
      <c r="D53" s="544" t="s">
        <v>426</v>
      </c>
      <c r="E53" s="545">
        <v>4.5999999999999996</v>
      </c>
      <c r="F53" s="546">
        <v>2857.4</v>
      </c>
      <c r="G53" s="546">
        <v>3673.2000000000007</v>
      </c>
      <c r="H53" s="546">
        <v>2990.5599999999995</v>
      </c>
      <c r="I53" s="546">
        <v>3257.2</v>
      </c>
      <c r="J53" s="546">
        <v>3008.27</v>
      </c>
      <c r="K53" s="546">
        <v>2677.09</v>
      </c>
      <c r="L53" s="546">
        <v>0</v>
      </c>
      <c r="M53" s="546">
        <v>0</v>
      </c>
      <c r="N53" s="546">
        <v>0</v>
      </c>
      <c r="O53" s="546">
        <v>0</v>
      </c>
      <c r="P53" s="546">
        <v>0</v>
      </c>
      <c r="Q53" s="546">
        <v>0</v>
      </c>
      <c r="R53" s="547">
        <v>18463.72</v>
      </c>
      <c r="S53" s="548">
        <v>4251</v>
      </c>
      <c r="T53" s="553">
        <f>T39</f>
        <v>5.8798306694871556</v>
      </c>
      <c r="U53" s="555">
        <f t="shared" si="0"/>
        <v>24995.160175989899</v>
      </c>
      <c r="V53" s="555"/>
    </row>
    <row r="54" spans="1:22" ht="14.4" x14ac:dyDescent="0.3">
      <c r="A54" s="544" t="s">
        <v>435</v>
      </c>
      <c r="B54" s="544" t="s">
        <v>438</v>
      </c>
      <c r="C54" s="544" t="s">
        <v>436</v>
      </c>
      <c r="D54" s="544" t="s">
        <v>426</v>
      </c>
      <c r="E54" s="545">
        <v>5.61</v>
      </c>
      <c r="F54" s="546">
        <v>0</v>
      </c>
      <c r="G54" s="546">
        <v>0</v>
      </c>
      <c r="H54" s="546">
        <v>0</v>
      </c>
      <c r="I54" s="546">
        <v>0</v>
      </c>
      <c r="J54" s="546">
        <v>0</v>
      </c>
      <c r="K54" s="546">
        <v>0</v>
      </c>
      <c r="L54" s="546">
        <v>2284.13</v>
      </c>
      <c r="M54" s="546">
        <v>1694.86</v>
      </c>
      <c r="N54" s="546">
        <v>1608.5000000000002</v>
      </c>
      <c r="O54" s="546">
        <v>1986.64</v>
      </c>
      <c r="P54" s="546">
        <v>1750.7400000000002</v>
      </c>
      <c r="Q54" s="546">
        <v>1065.22</v>
      </c>
      <c r="R54" s="547">
        <v>10390.09</v>
      </c>
      <c r="S54" s="548">
        <v>1962</v>
      </c>
      <c r="T54" s="553">
        <f>T53</f>
        <v>5.8798306694871556</v>
      </c>
      <c r="U54" s="555">
        <f t="shared" si="0"/>
        <v>11536.227773533799</v>
      </c>
      <c r="V54" s="555"/>
    </row>
    <row r="55" spans="1:22" ht="14.4" x14ac:dyDescent="0.3">
      <c r="A55" s="544" t="s">
        <v>435</v>
      </c>
      <c r="B55" s="544" t="s">
        <v>409</v>
      </c>
      <c r="C55" s="544" t="s">
        <v>436</v>
      </c>
      <c r="D55" s="544" t="s">
        <v>410</v>
      </c>
      <c r="E55" s="545">
        <v>13.18</v>
      </c>
      <c r="F55" s="546">
        <v>0</v>
      </c>
      <c r="G55" s="546">
        <v>0</v>
      </c>
      <c r="H55" s="546">
        <v>52.72</v>
      </c>
      <c r="I55" s="546">
        <v>52.72</v>
      </c>
      <c r="J55" s="546">
        <v>79.08</v>
      </c>
      <c r="K55" s="546">
        <v>92.26</v>
      </c>
      <c r="L55" s="546">
        <v>0</v>
      </c>
      <c r="M55" s="546">
        <v>0</v>
      </c>
      <c r="N55" s="546">
        <v>0</v>
      </c>
      <c r="O55" s="546">
        <v>0</v>
      </c>
      <c r="P55" s="546">
        <v>0</v>
      </c>
      <c r="Q55" s="546">
        <v>0</v>
      </c>
      <c r="R55" s="547">
        <v>276.77999999999997</v>
      </c>
      <c r="S55" s="548">
        <v>21</v>
      </c>
      <c r="T55" s="553">
        <f>T43</f>
        <v>16.220952789599341</v>
      </c>
      <c r="U55" s="555">
        <f t="shared" si="0"/>
        <v>340.64000858158619</v>
      </c>
      <c r="V55" s="555"/>
    </row>
    <row r="56" spans="1:22" ht="14.4" x14ac:dyDescent="0.3">
      <c r="A56" s="544" t="s">
        <v>435</v>
      </c>
      <c r="B56" s="544" t="s">
        <v>409</v>
      </c>
      <c r="C56" s="544" t="s">
        <v>436</v>
      </c>
      <c r="D56" s="544" t="s">
        <v>410</v>
      </c>
      <c r="E56" s="545">
        <v>14.7</v>
      </c>
      <c r="F56" s="546">
        <v>0</v>
      </c>
      <c r="G56" s="546">
        <v>0</v>
      </c>
      <c r="H56" s="546">
        <v>0</v>
      </c>
      <c r="I56" s="546">
        <v>0</v>
      </c>
      <c r="J56" s="546">
        <v>0</v>
      </c>
      <c r="K56" s="546">
        <v>0</v>
      </c>
      <c r="L56" s="546">
        <v>382.2</v>
      </c>
      <c r="M56" s="546">
        <v>88.2</v>
      </c>
      <c r="N56" s="546">
        <v>29.4</v>
      </c>
      <c r="O56" s="546">
        <v>102.9</v>
      </c>
      <c r="P56" s="546">
        <v>396.9</v>
      </c>
      <c r="Q56" s="546">
        <v>264.60000000000002</v>
      </c>
      <c r="R56" s="547">
        <v>1264.1999999999998</v>
      </c>
      <c r="S56" s="548">
        <v>86</v>
      </c>
      <c r="T56" s="553">
        <f>T55</f>
        <v>16.220952789599341</v>
      </c>
      <c r="U56" s="555">
        <f t="shared" si="0"/>
        <v>1395.0019399055434</v>
      </c>
      <c r="V56" s="555"/>
    </row>
    <row r="57" spans="1:22" ht="14.4" x14ac:dyDescent="0.3">
      <c r="A57" s="544" t="s">
        <v>435</v>
      </c>
      <c r="B57" s="544" t="s">
        <v>411</v>
      </c>
      <c r="C57" s="544" t="s">
        <v>436</v>
      </c>
      <c r="D57" s="544" t="s">
        <v>412</v>
      </c>
      <c r="E57" s="545">
        <v>20.38</v>
      </c>
      <c r="F57" s="546">
        <v>0</v>
      </c>
      <c r="G57" s="546">
        <v>0</v>
      </c>
      <c r="H57" s="546">
        <v>0</v>
      </c>
      <c r="I57" s="546">
        <v>20.38</v>
      </c>
      <c r="J57" s="546">
        <v>0</v>
      </c>
      <c r="K57" s="546">
        <v>0</v>
      </c>
      <c r="L57" s="546">
        <v>0</v>
      </c>
      <c r="M57" s="546">
        <v>0</v>
      </c>
      <c r="N57" s="546">
        <v>0</v>
      </c>
      <c r="O57" s="546">
        <v>0</v>
      </c>
      <c r="P57" s="546">
        <v>0</v>
      </c>
      <c r="Q57" s="546">
        <v>0</v>
      </c>
      <c r="R57" s="547">
        <v>20.38</v>
      </c>
      <c r="S57" s="548">
        <v>1</v>
      </c>
      <c r="T57" s="553">
        <f>T45</f>
        <v>20.14226865397033</v>
      </c>
      <c r="U57" s="555">
        <f t="shared" si="0"/>
        <v>20.14226865397033</v>
      </c>
      <c r="V57" s="555"/>
    </row>
    <row r="58" spans="1:22" ht="14.4" x14ac:dyDescent="0.3">
      <c r="A58" s="544" t="s">
        <v>435</v>
      </c>
      <c r="B58" s="544" t="s">
        <v>411</v>
      </c>
      <c r="C58" s="544" t="s">
        <v>436</v>
      </c>
      <c r="D58" s="544" t="s">
        <v>412</v>
      </c>
      <c r="E58" s="545">
        <v>20.93</v>
      </c>
      <c r="F58" s="546">
        <v>0</v>
      </c>
      <c r="G58" s="546">
        <v>0</v>
      </c>
      <c r="H58" s="546">
        <v>0</v>
      </c>
      <c r="I58" s="546">
        <v>0</v>
      </c>
      <c r="J58" s="546">
        <v>0</v>
      </c>
      <c r="K58" s="546">
        <v>0</v>
      </c>
      <c r="L58" s="546">
        <v>0</v>
      </c>
      <c r="M58" s="546">
        <v>0</v>
      </c>
      <c r="N58" s="546">
        <v>20.93</v>
      </c>
      <c r="O58" s="546">
        <v>0</v>
      </c>
      <c r="P58" s="546">
        <v>0</v>
      </c>
      <c r="Q58" s="546">
        <v>0</v>
      </c>
      <c r="R58" s="547">
        <v>20.93</v>
      </c>
      <c r="S58" s="548">
        <v>1</v>
      </c>
      <c r="T58" s="553">
        <f>T57</f>
        <v>20.14226865397033</v>
      </c>
      <c r="U58" s="555">
        <f t="shared" si="0"/>
        <v>20.14226865397033</v>
      </c>
      <c r="V58" s="555"/>
    </row>
    <row r="59" spans="1:22" ht="14.4" x14ac:dyDescent="0.3">
      <c r="A59" s="544" t="s">
        <v>435</v>
      </c>
      <c r="B59" s="544" t="s">
        <v>427</v>
      </c>
      <c r="C59" s="544" t="s">
        <v>436</v>
      </c>
      <c r="D59" s="544" t="s">
        <v>428</v>
      </c>
      <c r="E59" s="545">
        <v>18.649999999999999</v>
      </c>
      <c r="F59" s="546">
        <v>0</v>
      </c>
      <c r="G59" s="546">
        <v>0</v>
      </c>
      <c r="H59" s="546">
        <v>0</v>
      </c>
      <c r="I59" s="546">
        <v>74.599999999999994</v>
      </c>
      <c r="J59" s="546">
        <v>0</v>
      </c>
      <c r="K59" s="546">
        <v>0</v>
      </c>
      <c r="L59" s="546">
        <v>0</v>
      </c>
      <c r="M59" s="546">
        <v>0</v>
      </c>
      <c r="N59" s="546">
        <v>0</v>
      </c>
      <c r="O59" s="546">
        <v>0</v>
      </c>
      <c r="P59" s="546">
        <v>0</v>
      </c>
      <c r="Q59" s="546">
        <v>0</v>
      </c>
      <c r="R59" s="547">
        <v>74.599999999999994</v>
      </c>
      <c r="S59" s="548">
        <v>4</v>
      </c>
      <c r="T59" s="553">
        <f>Family.Couple!H24</f>
        <v>0</v>
      </c>
      <c r="U59" s="555">
        <f t="shared" si="0"/>
        <v>0</v>
      </c>
      <c r="V59" s="555"/>
    </row>
    <row r="60" spans="1:22" ht="14.4" x14ac:dyDescent="0.3">
      <c r="A60" s="544" t="s">
        <v>435</v>
      </c>
      <c r="B60" s="544" t="s">
        <v>427</v>
      </c>
      <c r="C60" s="544" t="s">
        <v>436</v>
      </c>
      <c r="D60" s="544" t="s">
        <v>428</v>
      </c>
      <c r="E60" s="545">
        <v>19.260000000000002</v>
      </c>
      <c r="F60" s="546">
        <v>0</v>
      </c>
      <c r="G60" s="546">
        <v>0</v>
      </c>
      <c r="H60" s="546">
        <v>0</v>
      </c>
      <c r="I60" s="546">
        <v>0</v>
      </c>
      <c r="J60" s="546">
        <v>0</v>
      </c>
      <c r="K60" s="546">
        <v>0</v>
      </c>
      <c r="L60" s="546">
        <v>0</v>
      </c>
      <c r="M60" s="546">
        <v>0</v>
      </c>
      <c r="N60" s="546">
        <v>0</v>
      </c>
      <c r="O60" s="546">
        <v>0</v>
      </c>
      <c r="P60" s="546">
        <v>192.6</v>
      </c>
      <c r="Q60" s="546">
        <v>231.12</v>
      </c>
      <c r="R60" s="547">
        <v>423.72</v>
      </c>
      <c r="S60" s="548">
        <v>22</v>
      </c>
      <c r="T60" s="553">
        <f>Family.Couple!H24</f>
        <v>0</v>
      </c>
      <c r="U60" s="555">
        <f t="shared" si="0"/>
        <v>0</v>
      </c>
      <c r="V60" s="555"/>
    </row>
    <row r="61" spans="1:22" ht="14.4" x14ac:dyDescent="0.3">
      <c r="A61" s="544" t="s">
        <v>439</v>
      </c>
      <c r="B61" s="544" t="s">
        <v>421</v>
      </c>
      <c r="C61" s="544" t="s">
        <v>440</v>
      </c>
      <c r="D61" s="544" t="s">
        <v>441</v>
      </c>
      <c r="E61" s="545">
        <v>34.51</v>
      </c>
      <c r="F61" s="546">
        <v>313.96597826086958</v>
      </c>
      <c r="G61" s="546">
        <v>313.96597826086958</v>
      </c>
      <c r="H61" s="546">
        <v>303.83804347826089</v>
      </c>
      <c r="I61" s="546">
        <v>310.59000000000003</v>
      </c>
      <c r="J61" s="546">
        <v>379.60999999999996</v>
      </c>
      <c r="K61" s="546">
        <v>241.57</v>
      </c>
      <c r="L61" s="546">
        <v>0</v>
      </c>
      <c r="M61" s="546">
        <v>0</v>
      </c>
      <c r="N61" s="546">
        <v>0</v>
      </c>
      <c r="O61" s="546">
        <v>0</v>
      </c>
      <c r="P61" s="546">
        <v>0</v>
      </c>
      <c r="Q61" s="546">
        <v>0</v>
      </c>
      <c r="R61" s="547">
        <v>1863.54</v>
      </c>
      <c r="S61" s="548">
        <v>54</v>
      </c>
      <c r="T61" s="553">
        <f>'Outpatient Counseling '!R6</f>
        <v>39.198871129914373</v>
      </c>
      <c r="U61" s="555">
        <f t="shared" si="0"/>
        <v>2116.7390410153762</v>
      </c>
      <c r="V61" s="555"/>
    </row>
    <row r="62" spans="1:22" ht="14.4" x14ac:dyDescent="0.3">
      <c r="A62" s="544" t="s">
        <v>439</v>
      </c>
      <c r="B62" s="544" t="s">
        <v>421</v>
      </c>
      <c r="C62" s="544" t="s">
        <v>440</v>
      </c>
      <c r="D62" s="544" t="s">
        <v>441</v>
      </c>
      <c r="E62" s="545">
        <v>37.43</v>
      </c>
      <c r="F62" s="546">
        <v>0</v>
      </c>
      <c r="G62" s="546">
        <v>0</v>
      </c>
      <c r="H62" s="546">
        <v>0</v>
      </c>
      <c r="I62" s="546">
        <v>0</v>
      </c>
      <c r="J62" s="546">
        <v>0</v>
      </c>
      <c r="K62" s="546">
        <v>0</v>
      </c>
      <c r="L62" s="546">
        <v>224.57999999999998</v>
      </c>
      <c r="M62" s="546">
        <v>411.73</v>
      </c>
      <c r="N62" s="546">
        <v>299.44</v>
      </c>
      <c r="O62" s="546">
        <v>112.28999999999999</v>
      </c>
      <c r="P62" s="546">
        <v>262.01</v>
      </c>
      <c r="Q62" s="546">
        <v>112.28999999999999</v>
      </c>
      <c r="R62" s="547">
        <v>1422.34</v>
      </c>
      <c r="S62" s="548">
        <v>38</v>
      </c>
      <c r="T62" s="553">
        <f>T61</f>
        <v>39.198871129914373</v>
      </c>
      <c r="U62" s="555">
        <f t="shared" si="0"/>
        <v>1489.5571029367461</v>
      </c>
      <c r="V62" s="555"/>
    </row>
    <row r="63" spans="1:22" ht="14.4" x14ac:dyDescent="0.3">
      <c r="A63" s="544" t="s">
        <v>439</v>
      </c>
      <c r="B63" s="544" t="s">
        <v>409</v>
      </c>
      <c r="C63" s="544" t="s">
        <v>440</v>
      </c>
      <c r="D63" s="544" t="s">
        <v>410</v>
      </c>
      <c r="E63" s="545">
        <v>13.18</v>
      </c>
      <c r="F63" s="546">
        <v>1367.8547826086956</v>
      </c>
      <c r="G63" s="546">
        <v>1367.8547826086956</v>
      </c>
      <c r="H63" s="546">
        <v>1323.7304347826087</v>
      </c>
      <c r="I63" s="546">
        <v>2965.5</v>
      </c>
      <c r="J63" s="546">
        <v>632.64</v>
      </c>
      <c r="K63" s="546">
        <v>461.3</v>
      </c>
      <c r="L63" s="546">
        <v>0</v>
      </c>
      <c r="M63" s="546">
        <v>0</v>
      </c>
      <c r="N63" s="546">
        <v>0</v>
      </c>
      <c r="O63" s="546">
        <v>0</v>
      </c>
      <c r="P63" s="546">
        <v>0</v>
      </c>
      <c r="Q63" s="546">
        <v>0</v>
      </c>
      <c r="R63" s="547">
        <v>8118.88</v>
      </c>
      <c r="S63" s="548">
        <v>616</v>
      </c>
      <c r="T63" s="553">
        <f>T55</f>
        <v>16.220952789599341</v>
      </c>
      <c r="U63" s="555">
        <f t="shared" si="0"/>
        <v>9992.1069183931941</v>
      </c>
      <c r="V63" s="555"/>
    </row>
    <row r="64" spans="1:22" ht="14.4" x14ac:dyDescent="0.3">
      <c r="A64" s="544" t="s">
        <v>439</v>
      </c>
      <c r="B64" s="544" t="s">
        <v>409</v>
      </c>
      <c r="C64" s="544" t="s">
        <v>440</v>
      </c>
      <c r="D64" s="544" t="s">
        <v>410</v>
      </c>
      <c r="E64" s="545">
        <v>14.7</v>
      </c>
      <c r="F64" s="546">
        <v>0</v>
      </c>
      <c r="G64" s="546">
        <v>0</v>
      </c>
      <c r="H64" s="546">
        <v>0</v>
      </c>
      <c r="I64" s="546">
        <v>0</v>
      </c>
      <c r="J64" s="546">
        <v>0</v>
      </c>
      <c r="K64" s="546">
        <v>0</v>
      </c>
      <c r="L64" s="546">
        <v>529.20000000000005</v>
      </c>
      <c r="M64" s="546">
        <v>632.1</v>
      </c>
      <c r="N64" s="546">
        <v>294</v>
      </c>
      <c r="O64" s="546">
        <v>0</v>
      </c>
      <c r="P64" s="546">
        <v>0</v>
      </c>
      <c r="Q64" s="546">
        <v>0</v>
      </c>
      <c r="R64" s="547">
        <v>1455.3000000000002</v>
      </c>
      <c r="S64" s="548">
        <v>99</v>
      </c>
      <c r="T64" s="553">
        <f>T63</f>
        <v>16.220952789599341</v>
      </c>
      <c r="U64" s="555">
        <f t="shared" si="0"/>
        <v>1605.8743261703348</v>
      </c>
      <c r="V64" s="555"/>
    </row>
    <row r="65" spans="1:23" ht="14.4" x14ac:dyDescent="0.3">
      <c r="A65" s="544" t="s">
        <v>439</v>
      </c>
      <c r="B65" s="544" t="s">
        <v>411</v>
      </c>
      <c r="C65" s="544" t="s">
        <v>440</v>
      </c>
      <c r="D65" s="544" t="s">
        <v>412</v>
      </c>
      <c r="E65" s="545">
        <v>20.38</v>
      </c>
      <c r="F65" s="546">
        <v>5823.3634782608697</v>
      </c>
      <c r="G65" s="546">
        <v>5823.3634782608697</v>
      </c>
      <c r="H65" s="546">
        <v>5635.5130434782604</v>
      </c>
      <c r="I65" s="546">
        <v>5461.84</v>
      </c>
      <c r="J65" s="546">
        <v>4993.0999999999995</v>
      </c>
      <c r="K65" s="546">
        <v>6827.2999999999993</v>
      </c>
      <c r="L65" s="546">
        <v>0</v>
      </c>
      <c r="M65" s="546">
        <v>0</v>
      </c>
      <c r="N65" s="546">
        <v>0</v>
      </c>
      <c r="O65" s="546">
        <v>0</v>
      </c>
      <c r="P65" s="546">
        <v>0</v>
      </c>
      <c r="Q65" s="546">
        <v>0</v>
      </c>
      <c r="R65" s="547">
        <v>34564.479999999996</v>
      </c>
      <c r="S65" s="548">
        <v>1696</v>
      </c>
      <c r="T65" s="553">
        <f>T57</f>
        <v>20.14226865397033</v>
      </c>
      <c r="U65" s="555">
        <f t="shared" si="0"/>
        <v>34161.287637133682</v>
      </c>
      <c r="V65" s="555"/>
    </row>
    <row r="66" spans="1:23" ht="14.4" x14ac:dyDescent="0.3">
      <c r="A66" s="544" t="s">
        <v>439</v>
      </c>
      <c r="B66" s="544" t="s">
        <v>411</v>
      </c>
      <c r="C66" s="544" t="s">
        <v>440</v>
      </c>
      <c r="D66" s="544" t="s">
        <v>412</v>
      </c>
      <c r="E66" s="545">
        <v>20.93</v>
      </c>
      <c r="F66" s="546">
        <v>0</v>
      </c>
      <c r="G66" s="546">
        <v>0</v>
      </c>
      <c r="H66" s="546">
        <v>0</v>
      </c>
      <c r="I66" s="546">
        <v>0</v>
      </c>
      <c r="J66" s="546">
        <v>0</v>
      </c>
      <c r="K66" s="546">
        <v>0</v>
      </c>
      <c r="L66" s="546">
        <v>8623.16</v>
      </c>
      <c r="M66" s="546">
        <v>4981.3399999999992</v>
      </c>
      <c r="N66" s="546">
        <v>8330.14</v>
      </c>
      <c r="O66" s="546">
        <v>7053.41</v>
      </c>
      <c r="P66" s="546">
        <v>4311.58</v>
      </c>
      <c r="Q66" s="546">
        <v>2720.8999999999996</v>
      </c>
      <c r="R66" s="547">
        <v>36020.53</v>
      </c>
      <c r="S66" s="548">
        <v>1721</v>
      </c>
      <c r="T66" s="553">
        <f>T65</f>
        <v>20.14226865397033</v>
      </c>
      <c r="U66" s="555">
        <f t="shared" si="0"/>
        <v>34664.844353482935</v>
      </c>
      <c r="V66" s="555"/>
    </row>
    <row r="67" spans="1:23" ht="14.4" x14ac:dyDescent="0.3">
      <c r="A67" s="544" t="s">
        <v>439</v>
      </c>
      <c r="B67" s="544" t="s">
        <v>442</v>
      </c>
      <c r="C67" s="544" t="s">
        <v>440</v>
      </c>
      <c r="D67" s="544" t="s">
        <v>443</v>
      </c>
      <c r="E67" s="545">
        <v>20.23</v>
      </c>
      <c r="F67" s="546">
        <v>1008.8613043478261</v>
      </c>
      <c r="G67" s="546">
        <v>1008.8613043478261</v>
      </c>
      <c r="H67" s="546">
        <v>976.31739130434789</v>
      </c>
      <c r="I67" s="546">
        <v>1132.8800000000001</v>
      </c>
      <c r="J67" s="546">
        <v>1051.96</v>
      </c>
      <c r="K67" s="546">
        <v>809.2</v>
      </c>
      <c r="L67" s="546">
        <v>0</v>
      </c>
      <c r="M67" s="546">
        <v>0</v>
      </c>
      <c r="N67" s="546">
        <v>0</v>
      </c>
      <c r="O67" s="546">
        <v>0</v>
      </c>
      <c r="P67" s="546">
        <v>0</v>
      </c>
      <c r="Q67" s="546">
        <v>0</v>
      </c>
      <c r="R67" s="547">
        <v>5988.08</v>
      </c>
      <c r="S67" s="548">
        <v>296</v>
      </c>
      <c r="T67" s="553">
        <f>'InHome Therapy'!F24</f>
        <v>22.091138531272939</v>
      </c>
      <c r="U67" s="555">
        <f t="shared" si="0"/>
        <v>6538.9770052567901</v>
      </c>
      <c r="V67" s="555"/>
    </row>
    <row r="68" spans="1:23" ht="14.4" x14ac:dyDescent="0.3">
      <c r="A68" s="544" t="s">
        <v>439</v>
      </c>
      <c r="B68" s="544" t="s">
        <v>442</v>
      </c>
      <c r="C68" s="544" t="s">
        <v>440</v>
      </c>
      <c r="D68" s="544" t="s">
        <v>443</v>
      </c>
      <c r="E68" s="545">
        <v>21</v>
      </c>
      <c r="F68" s="546">
        <v>0</v>
      </c>
      <c r="G68" s="546">
        <v>0</v>
      </c>
      <c r="H68" s="546">
        <v>0</v>
      </c>
      <c r="I68" s="546">
        <v>0</v>
      </c>
      <c r="J68" s="546">
        <v>0</v>
      </c>
      <c r="K68" s="546">
        <v>0</v>
      </c>
      <c r="L68" s="546">
        <v>756</v>
      </c>
      <c r="M68" s="546">
        <v>1281</v>
      </c>
      <c r="N68" s="546">
        <v>252</v>
      </c>
      <c r="O68" s="546">
        <v>252</v>
      </c>
      <c r="P68" s="546">
        <v>63</v>
      </c>
      <c r="Q68" s="546">
        <v>0</v>
      </c>
      <c r="R68" s="547">
        <v>2604</v>
      </c>
      <c r="S68" s="548">
        <v>124</v>
      </c>
      <c r="T68" s="553">
        <f>T67</f>
        <v>22.091138531272939</v>
      </c>
      <c r="U68" s="555">
        <f t="shared" si="0"/>
        <v>2739.3011778778446</v>
      </c>
      <c r="V68" s="555"/>
    </row>
    <row r="69" spans="1:23" ht="14.4" x14ac:dyDescent="0.3">
      <c r="A69" s="544" t="s">
        <v>444</v>
      </c>
      <c r="B69" s="544" t="s">
        <v>92</v>
      </c>
      <c r="C69" s="544" t="s">
        <v>445</v>
      </c>
      <c r="D69" s="544" t="s">
        <v>446</v>
      </c>
      <c r="E69" s="545">
        <v>3.7</v>
      </c>
      <c r="F69" s="546">
        <v>5611.5728260869555</v>
      </c>
      <c r="G69" s="546">
        <v>5611.5728260869555</v>
      </c>
      <c r="H69" s="546">
        <v>5430.5543478260861</v>
      </c>
      <c r="I69" s="546">
        <v>6907.9</v>
      </c>
      <c r="J69" s="546">
        <v>4983.8999999999996</v>
      </c>
      <c r="K69" s="546">
        <v>4761.8999999999996</v>
      </c>
      <c r="L69" s="546">
        <v>0</v>
      </c>
      <c r="M69" s="546">
        <v>0</v>
      </c>
      <c r="N69" s="546">
        <v>0</v>
      </c>
      <c r="O69" s="546">
        <v>0</v>
      </c>
      <c r="P69" s="546">
        <v>0</v>
      </c>
      <c r="Q69" s="546">
        <v>0</v>
      </c>
      <c r="R69" s="547">
        <v>33307.4</v>
      </c>
      <c r="S69" s="548">
        <v>9002</v>
      </c>
      <c r="T69" s="553">
        <f>Psycho.Ed!F25</f>
        <v>4.2564858895456172</v>
      </c>
      <c r="U69" s="555">
        <f t="shared" si="0"/>
        <v>38316.88597768965</v>
      </c>
      <c r="V69" s="555"/>
    </row>
    <row r="70" spans="1:23" ht="14.4" x14ac:dyDescent="0.3">
      <c r="A70" s="544" t="s">
        <v>444</v>
      </c>
      <c r="B70" s="544" t="s">
        <v>92</v>
      </c>
      <c r="C70" s="544" t="s">
        <v>445</v>
      </c>
      <c r="D70" s="544" t="s">
        <v>446</v>
      </c>
      <c r="E70" s="545">
        <v>3.89</v>
      </c>
      <c r="F70" s="546">
        <v>0</v>
      </c>
      <c r="G70" s="546">
        <v>0</v>
      </c>
      <c r="H70" s="546">
        <v>0</v>
      </c>
      <c r="I70" s="546">
        <v>0</v>
      </c>
      <c r="J70" s="546">
        <v>0</v>
      </c>
      <c r="K70" s="546">
        <v>0</v>
      </c>
      <c r="L70" s="546">
        <v>6581.8799999999992</v>
      </c>
      <c r="M70" s="546">
        <v>5741.6399999999994</v>
      </c>
      <c r="N70" s="546">
        <v>1478.2</v>
      </c>
      <c r="O70" s="546">
        <v>1470.42</v>
      </c>
      <c r="P70" s="546">
        <v>1991.68</v>
      </c>
      <c r="Q70" s="546">
        <v>1307.04</v>
      </c>
      <c r="R70" s="547">
        <v>18570.86</v>
      </c>
      <c r="S70" s="548">
        <v>4774</v>
      </c>
      <c r="T70" s="553">
        <f>T69</f>
        <v>4.2564858895456172</v>
      </c>
      <c r="U70" s="555">
        <f t="shared" si="0"/>
        <v>20320.463636690776</v>
      </c>
      <c r="V70" s="555"/>
    </row>
    <row r="71" spans="1:23" ht="14.4" x14ac:dyDescent="0.3">
      <c r="A71" s="544" t="s">
        <v>444</v>
      </c>
      <c r="B71" s="544" t="s">
        <v>427</v>
      </c>
      <c r="C71" s="544" t="s">
        <v>445</v>
      </c>
      <c r="D71" s="544" t="s">
        <v>447</v>
      </c>
      <c r="E71" s="545">
        <v>18.649999999999999</v>
      </c>
      <c r="F71" s="546">
        <v>1633.9021739130435</v>
      </c>
      <c r="G71" s="546">
        <v>1633.9021739130435</v>
      </c>
      <c r="H71" s="546">
        <v>1581.195652173913</v>
      </c>
      <c r="I71" s="546">
        <v>2088.8000000000002</v>
      </c>
      <c r="J71" s="546">
        <v>1827.6999999999998</v>
      </c>
      <c r="K71" s="546">
        <v>932.5</v>
      </c>
      <c r="L71" s="546">
        <v>0</v>
      </c>
      <c r="M71" s="546">
        <v>0</v>
      </c>
      <c r="N71" s="546">
        <v>0</v>
      </c>
      <c r="O71" s="546">
        <v>0</v>
      </c>
      <c r="P71" s="546">
        <v>0</v>
      </c>
      <c r="Q71" s="546">
        <v>0</v>
      </c>
      <c r="R71" s="547">
        <v>9698</v>
      </c>
      <c r="S71" s="548">
        <v>520</v>
      </c>
      <c r="T71" s="553">
        <f>Family.Couple!H24</f>
        <v>0</v>
      </c>
      <c r="U71" s="555">
        <f t="shared" si="0"/>
        <v>0</v>
      </c>
      <c r="V71" s="555"/>
    </row>
    <row r="72" spans="1:23" ht="15" thickBot="1" x14ac:dyDescent="0.35">
      <c r="A72" s="544" t="s">
        <v>444</v>
      </c>
      <c r="B72" s="544" t="s">
        <v>427</v>
      </c>
      <c r="C72" s="544" t="s">
        <v>445</v>
      </c>
      <c r="D72" s="544" t="s">
        <v>447</v>
      </c>
      <c r="E72" s="545">
        <v>19.260000000000002</v>
      </c>
      <c r="F72" s="546">
        <v>0</v>
      </c>
      <c r="G72" s="546">
        <v>0</v>
      </c>
      <c r="H72" s="546">
        <v>0</v>
      </c>
      <c r="I72" s="546">
        <v>0</v>
      </c>
      <c r="J72" s="546">
        <v>0</v>
      </c>
      <c r="K72" s="546">
        <v>0</v>
      </c>
      <c r="L72" s="546">
        <v>963</v>
      </c>
      <c r="M72" s="546">
        <v>231.12</v>
      </c>
      <c r="N72" s="546">
        <v>154.08000000000001</v>
      </c>
      <c r="O72" s="546">
        <v>0</v>
      </c>
      <c r="P72" s="546">
        <v>0</v>
      </c>
      <c r="Q72" s="546">
        <v>0</v>
      </c>
      <c r="R72" s="547">
        <v>1348.1999999999998</v>
      </c>
      <c r="S72" s="549">
        <v>70</v>
      </c>
      <c r="T72" s="553">
        <f>T71</f>
        <v>0</v>
      </c>
      <c r="U72" s="556">
        <f t="shared" ref="U72" si="1">T72*S72</f>
        <v>0</v>
      </c>
      <c r="V72" s="557"/>
    </row>
    <row r="73" spans="1:23" ht="13.8" thickBot="1" x14ac:dyDescent="0.3">
      <c r="F73" s="550">
        <v>217673.05054347828</v>
      </c>
      <c r="G73" s="551">
        <v>186374.67054347828</v>
      </c>
      <c r="H73" s="551">
        <v>154780.51891304349</v>
      </c>
      <c r="I73" s="551">
        <v>176806.34000000003</v>
      </c>
      <c r="J73" s="551">
        <v>160376.66999999998</v>
      </c>
      <c r="K73" s="551">
        <v>158625.37999999998</v>
      </c>
      <c r="L73" s="551">
        <v>196979.32</v>
      </c>
      <c r="M73" s="551">
        <v>159442.62</v>
      </c>
      <c r="N73" s="551">
        <v>160342.84999999995</v>
      </c>
      <c r="O73" s="551">
        <v>188089.04</v>
      </c>
      <c r="P73" s="551">
        <v>174235.78999999998</v>
      </c>
      <c r="Q73" s="551">
        <v>150847.08999999997</v>
      </c>
      <c r="R73" s="552">
        <v>2084573.3399999996</v>
      </c>
      <c r="T73" s="553"/>
      <c r="U73" s="555">
        <f>SUM(U7:U72)</f>
        <v>2292802.8780693654</v>
      </c>
      <c r="V73" s="555">
        <f>U73-R73</f>
        <v>208229.53806936578</v>
      </c>
      <c r="W73" s="554">
        <f>(U73-R73)/R73</f>
        <v>9.9890722995318468E-2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14</vt:i4>
      </vt:variant>
    </vt:vector>
  </HeadingPairs>
  <TitlesOfParts>
    <vt:vector size="33" baseType="lpstr">
      <vt:lpstr>Rate Chart</vt:lpstr>
      <vt:lpstr>Chart</vt:lpstr>
      <vt:lpstr>Master Lookup change</vt:lpstr>
      <vt:lpstr>Spring 2018</vt:lpstr>
      <vt:lpstr>Recovery Coach (new)</vt:lpstr>
      <vt:lpstr>Methadone Dosing</vt:lpstr>
      <vt:lpstr>Methadone Counseling</vt:lpstr>
      <vt:lpstr>Fiscal Impact (2)</vt:lpstr>
      <vt:lpstr>Fiscal Impact</vt:lpstr>
      <vt:lpstr>Outpatient Counseling </vt:lpstr>
      <vt:lpstr>Family.Couple</vt:lpstr>
      <vt:lpstr>Psycho.Ed</vt:lpstr>
      <vt:lpstr>Day Treatments</vt:lpstr>
      <vt:lpstr>Telephone Rec</vt:lpstr>
      <vt:lpstr>Recovery Coaching</vt:lpstr>
      <vt:lpstr>InHome Therapy</vt:lpstr>
      <vt:lpstr>Case Management</vt:lpstr>
      <vt:lpstr>Master Lookup</vt:lpstr>
      <vt:lpstr>CAF 2020 Spring </vt:lpstr>
      <vt:lpstr>'Case Management'!Print_Area</vt:lpstr>
      <vt:lpstr>Chart!Print_Area</vt:lpstr>
      <vt:lpstr>Family.Couple!Print_Area</vt:lpstr>
      <vt:lpstr>'InHome Therapy'!Print_Area</vt:lpstr>
      <vt:lpstr>'Master Lookup'!Print_Area</vt:lpstr>
      <vt:lpstr>'Master Lookup change'!Print_Area</vt:lpstr>
      <vt:lpstr>'Outpatient Counseling '!Print_Area</vt:lpstr>
      <vt:lpstr>Psycho.Ed!Print_Area</vt:lpstr>
      <vt:lpstr>'Recovery Coaching'!Print_Area</vt:lpstr>
      <vt:lpstr>'Spring 2018'!Print_Area</vt:lpstr>
      <vt:lpstr>'Telephone Rec'!Print_Area</vt:lpstr>
      <vt:lpstr>'CAF 2020 Spring '!Print_Titles</vt:lpstr>
      <vt:lpstr>'Rate Chart'!Print_Titles</vt:lpstr>
      <vt:lpstr>'Spring 2018'!Print_Titles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kara</cp:lastModifiedBy>
  <cp:lastPrinted>2020-06-29T14:27:35Z</cp:lastPrinted>
  <dcterms:created xsi:type="dcterms:W3CDTF">2018-03-30T13:56:12Z</dcterms:created>
  <dcterms:modified xsi:type="dcterms:W3CDTF">2020-11-02T16:42:06Z</dcterms:modified>
</cp:coreProperties>
</file>