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64" activeTab="1"/>
  </bookViews>
  <sheets>
    <sheet name="M2020 CHART" sheetId="1" r:id="rId1"/>
    <sheet name="2022Model " sheetId="2" r:id="rId2"/>
  </sheets>
  <externalReferences>
    <externalReference r:id="rId3"/>
    <externalReference r:id="rId4"/>
    <externalReference r:id="rId5"/>
  </externalReferences>
  <definedNames>
    <definedName name="Cap">[3]RawDataCalcs!$L$35:$DB$35</definedName>
    <definedName name="Floor">[3]RawDataCalcs!$L$34:$DB$34</definedName>
    <definedName name="_xlnm.Print_Area" localSheetId="1">'2022Model '!$H$1:$U$58</definedName>
  </definedNames>
  <calcPr calcId="145621"/>
</workbook>
</file>

<file path=xl/calcChain.xml><?xml version="1.0" encoding="utf-8"?>
<calcChain xmlns="http://schemas.openxmlformats.org/spreadsheetml/2006/main">
  <c r="C38" i="2" l="1"/>
  <c r="C39" i="2" s="1"/>
  <c r="C41" i="2" s="1"/>
  <c r="J31" i="2"/>
  <c r="S29" i="2"/>
  <c r="E23" i="2"/>
  <c r="T32" i="2" s="1"/>
  <c r="Q22" i="2"/>
  <c r="H22" i="2"/>
  <c r="S20" i="2"/>
  <c r="J20" i="2"/>
  <c r="S19" i="2"/>
  <c r="T17" i="2"/>
  <c r="K17" i="2"/>
  <c r="J17" i="2"/>
  <c r="L17" i="2" s="1"/>
  <c r="T16" i="2"/>
  <c r="K16" i="2"/>
  <c r="J16" i="2"/>
  <c r="L16" i="2" s="1"/>
  <c r="T15" i="2"/>
  <c r="K15" i="2"/>
  <c r="J15" i="2"/>
  <c r="L15" i="2" s="1"/>
  <c r="T14" i="2"/>
  <c r="K14" i="2"/>
  <c r="J14" i="2"/>
  <c r="L14" i="2" s="1"/>
  <c r="J13" i="2"/>
  <c r="L13" i="2" s="1"/>
  <c r="L12" i="2"/>
  <c r="J12" i="2"/>
  <c r="J11" i="2"/>
  <c r="L11" i="2" s="1"/>
  <c r="J10" i="2"/>
  <c r="L10" i="2" s="1"/>
  <c r="F10" i="2"/>
  <c r="L9" i="2"/>
  <c r="J9" i="2"/>
  <c r="F9" i="2"/>
  <c r="T8" i="2"/>
  <c r="T36" i="2" s="1"/>
  <c r="K8" i="2"/>
  <c r="K39" i="2" s="1"/>
  <c r="J8" i="2"/>
  <c r="L8" i="2" s="1"/>
  <c r="F8" i="2"/>
  <c r="T7" i="2"/>
  <c r="K7" i="2"/>
  <c r="J7" i="2"/>
  <c r="L7" i="2" s="1"/>
  <c r="F7" i="2"/>
  <c r="D7" i="2"/>
  <c r="T6" i="2"/>
  <c r="T18" i="2" s="1"/>
  <c r="K6" i="2"/>
  <c r="K18" i="2" s="1"/>
  <c r="J6" i="2"/>
  <c r="L6" i="2" s="1"/>
  <c r="L18" i="2" s="1"/>
  <c r="F6" i="2"/>
  <c r="D6" i="2"/>
  <c r="F5" i="2"/>
  <c r="D5" i="2"/>
  <c r="F4" i="2"/>
  <c r="D4" i="2"/>
  <c r="F3" i="2"/>
  <c r="F12" i="2" s="1"/>
  <c r="F13" i="2" s="1"/>
  <c r="K38" i="2" s="1"/>
  <c r="D3" i="2"/>
  <c r="C38" i="1"/>
  <c r="D34" i="1"/>
  <c r="C34" i="1"/>
  <c r="E34" i="1" s="1"/>
  <c r="H33" i="1"/>
  <c r="C33" i="1"/>
  <c r="J33" i="1" s="1"/>
  <c r="D32" i="1"/>
  <c r="C32" i="1"/>
  <c r="E32" i="1" s="1"/>
  <c r="H31" i="1"/>
  <c r="C31" i="1"/>
  <c r="J31" i="1" s="1"/>
  <c r="C30" i="1"/>
  <c r="S11" i="2" s="1"/>
  <c r="U11" i="2" s="1"/>
  <c r="H29" i="1"/>
  <c r="C29" i="1"/>
  <c r="J29" i="1" s="1"/>
  <c r="D28" i="1"/>
  <c r="C28" i="1"/>
  <c r="E28" i="1" s="1"/>
  <c r="H27" i="1"/>
  <c r="C27" i="1"/>
  <c r="J27" i="1" s="1"/>
  <c r="C26" i="1"/>
  <c r="S10" i="2" s="1"/>
  <c r="U10" i="2" s="1"/>
  <c r="C25" i="1"/>
  <c r="C24" i="1"/>
  <c r="S9" i="2" s="1"/>
  <c r="U9" i="2" s="1"/>
  <c r="C23" i="1"/>
  <c r="C22" i="1"/>
  <c r="S6" i="2" s="1"/>
  <c r="U6" i="2" s="1"/>
  <c r="C21" i="1"/>
  <c r="C20" i="1"/>
  <c r="S15" i="2" s="1"/>
  <c r="U15" i="2" s="1"/>
  <c r="C19" i="1"/>
  <c r="D18" i="1"/>
  <c r="C18" i="1"/>
  <c r="S7" i="2" s="1"/>
  <c r="U7" i="2" s="1"/>
  <c r="H17" i="1"/>
  <c r="C17" i="1"/>
  <c r="J17" i="1" s="1"/>
  <c r="D16" i="1"/>
  <c r="C16" i="1"/>
  <c r="E16" i="1" s="1"/>
  <c r="C15" i="1"/>
  <c r="D14" i="1"/>
  <c r="C14" i="1"/>
  <c r="E14" i="1" s="1"/>
  <c r="H13" i="1"/>
  <c r="C13" i="1"/>
  <c r="J13" i="1" s="1"/>
  <c r="D12" i="1"/>
  <c r="C12" i="1"/>
  <c r="E12" i="1" s="1"/>
  <c r="C11" i="1"/>
  <c r="D10" i="1"/>
  <c r="H9" i="1"/>
  <c r="C9" i="1"/>
  <c r="C10" i="1" s="1"/>
  <c r="E10" i="1" s="1"/>
  <c r="D8" i="1"/>
  <c r="H7" i="1"/>
  <c r="C7" i="1"/>
  <c r="C8" i="1" s="1"/>
  <c r="D6" i="1"/>
  <c r="H5" i="1"/>
  <c r="C5" i="1"/>
  <c r="C6" i="1" s="1"/>
  <c r="E6" i="1" l="1"/>
  <c r="C36" i="1"/>
  <c r="K40" i="2"/>
  <c r="T35" i="2"/>
  <c r="T37" i="2" s="1"/>
  <c r="S13" i="2"/>
  <c r="U13" i="2" s="1"/>
  <c r="E8" i="1"/>
  <c r="L32" i="2"/>
  <c r="L20" i="2"/>
  <c r="L21" i="2" s="1"/>
  <c r="U23" i="2"/>
  <c r="U26" i="2"/>
  <c r="J5" i="1"/>
  <c r="J7" i="1"/>
  <c r="J9" i="1"/>
  <c r="S8" i="2"/>
  <c r="U8" i="2" s="1"/>
  <c r="S12" i="2"/>
  <c r="U12" i="2" s="1"/>
  <c r="S14" i="2"/>
  <c r="U14" i="2" s="1"/>
  <c r="E20" i="2"/>
  <c r="K28" i="2" s="1"/>
  <c r="L28" i="2" s="1"/>
  <c r="E18" i="1"/>
  <c r="U18" i="2" l="1"/>
  <c r="E19" i="2"/>
  <c r="S17" i="2"/>
  <c r="U17" i="2" s="1"/>
  <c r="S16" i="2"/>
  <c r="U16" i="2" s="1"/>
  <c r="E18" i="2"/>
  <c r="K25" i="2" s="1"/>
  <c r="L25" i="2" s="1"/>
  <c r="E16" i="2"/>
  <c r="U19" i="2" l="1"/>
  <c r="U21" i="2"/>
  <c r="U20" i="2"/>
  <c r="U22" i="2"/>
  <c r="L22" i="2"/>
  <c r="K26" i="2"/>
  <c r="L26" i="2" s="1"/>
  <c r="T24" i="2"/>
  <c r="U24" i="2" s="1"/>
  <c r="U27" i="2" l="1"/>
  <c r="L29" i="2"/>
  <c r="L33" i="2" l="1"/>
  <c r="L31" i="2"/>
  <c r="U29" i="2"/>
  <c r="U30" i="2" s="1"/>
  <c r="U32" i="2" l="1"/>
  <c r="U34" i="2" s="1"/>
  <c r="U38" i="2" s="1"/>
  <c r="U39" i="2" s="1"/>
  <c r="L35" i="2"/>
  <c r="L37" i="2"/>
  <c r="L41" i="2" s="1"/>
  <c r="L43" i="2" s="1"/>
</calcChain>
</file>

<file path=xl/comments1.xml><?xml version="1.0" encoding="utf-8"?>
<comments xmlns="http://schemas.openxmlformats.org/spreadsheetml/2006/main">
  <authors>
    <author>kara</author>
  </authors>
  <commentList>
    <comment ref="K39" authorId="0">
      <text>
        <r>
          <rPr>
            <b/>
            <sz val="14"/>
            <color indexed="81"/>
            <rFont val="Tahoma"/>
            <family val="2"/>
          </rPr>
          <t>kara:</t>
        </r>
        <r>
          <rPr>
            <sz val="14"/>
            <color indexed="81"/>
            <rFont val="Tahoma"/>
            <family val="2"/>
          </rPr>
          <t xml:space="preserve">
removed all program director and this includes 35% of Clinical Team Leader in direct services</t>
        </r>
      </text>
    </comment>
  </commentList>
</comments>
</file>

<file path=xl/sharedStrings.xml><?xml version="1.0" encoding="utf-8"?>
<sst xmlns="http://schemas.openxmlformats.org/spreadsheetml/2006/main" count="202" uniqueCount="155">
  <si>
    <t>a/o 4/12/21</t>
  </si>
  <si>
    <t>Source:</t>
  </si>
  <si>
    <t>2017/2018</t>
  </si>
  <si>
    <t>BLS / OES</t>
  </si>
  <si>
    <t>Position</t>
  </si>
  <si>
    <r>
      <t>Median</t>
    </r>
    <r>
      <rPr>
        <b/>
        <sz val="16"/>
        <color indexed="10"/>
        <rFont val="Calibri"/>
        <family val="2"/>
      </rPr>
      <t xml:space="preserve"> </t>
    </r>
  </si>
  <si>
    <t>Median</t>
  </si>
  <si>
    <t>Change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</si>
  <si>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</si>
  <si>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</si>
  <si>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</si>
  <si>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</si>
  <si>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Direct Care (hourly)</t>
  </si>
  <si>
    <t>Direct Care, Direct Care Blend, Non Specialized DC, Peer mentor, Family Specialist/ Partner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</si>
  <si>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</si>
  <si>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</si>
  <si>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</si>
  <si>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</si>
  <si>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</si>
  <si>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</si>
  <si>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 xml:space="preserve">Developmental Specialist, 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</si>
  <si>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</si>
  <si>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</si>
  <si>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</si>
  <si>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</si>
  <si>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</si>
  <si>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</si>
  <si>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</si>
  <si>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</si>
  <si>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</si>
  <si>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</si>
  <si>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</si>
  <si>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</si>
  <si>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</si>
  <si>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</si>
  <si>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</si>
  <si>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</si>
  <si>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LPN (annual)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</si>
  <si>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</si>
  <si>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</si>
  <si>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</si>
  <si>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</si>
  <si>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Dietician / Nutritionist (hourly)</t>
  </si>
  <si>
    <t xml:space="preserve">Bachelors Level </t>
  </si>
  <si>
    <t>Dietician / Nutritionist (annual)</t>
  </si>
  <si>
    <t>Program Management (hourly)</t>
  </si>
  <si>
    <t xml:space="preserve">Program manager, management, </t>
  </si>
  <si>
    <t>BA Level w/ 3+ years related work experience</t>
  </si>
  <si>
    <t>Program Management (annual)</t>
  </si>
  <si>
    <t xml:space="preserve"> program director</t>
  </si>
  <si>
    <t>Occupational Therapist (hourly)</t>
  </si>
  <si>
    <t>Occupational Therapists</t>
  </si>
  <si>
    <t>Occupational Therapist (annual)</t>
  </si>
  <si>
    <t>Physical Therapist (hourly)</t>
  </si>
  <si>
    <t>Physical Therapists</t>
  </si>
  <si>
    <t>Physical Therapist (annual)</t>
  </si>
  <si>
    <t>Clinical Manager / Psychologists (hourly)</t>
  </si>
  <si>
    <t>Clinical Manager, Clinical Director, Clinical  Psychologist</t>
  </si>
  <si>
    <t>Masters with Licensure in Related Discipline and supervising/managerial related experience</t>
  </si>
  <si>
    <t>Clinical Manager /  Psychologists  (annual)</t>
  </si>
  <si>
    <t>Speech Language Pathologists (hourly)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</si>
  <si>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</si>
  <si>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</si>
  <si>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</si>
  <si>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</si>
  <si>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</si>
  <si>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</si>
  <si>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</si>
  <si>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Clerical, Support &amp; Direct Care Relief Staff are benched to Direct Care</t>
  </si>
  <si>
    <t>Overnight staff (asleep or awake) benchmarked to $14.63 / hr (avg CY22 &amp; CY23)</t>
  </si>
  <si>
    <t>CY21 min. wage = $13.50 and CY22 min. wage = $14.25 and CY23 = $15.00</t>
  </si>
  <si>
    <t xml:space="preserve">Tax and Fringe  =  </t>
  </si>
  <si>
    <t xml:space="preserve">Benchmarked to FY21 (proposed) Commonwealth (office of the Comptroller) T&amp;F rate, less </t>
  </si>
  <si>
    <t>Terminal leave, retirement and Paid Family Medical Leave tax (actual FY21 approved was 22.28% )
FY22 Proposed is 21.87% with same parameters as above</t>
  </si>
  <si>
    <t>PFMLA</t>
  </si>
  <si>
    <t>Admin Allocation</t>
  </si>
  <si>
    <t>C.257 Benchmark</t>
  </si>
  <si>
    <t>Master Look-Up Data</t>
  </si>
  <si>
    <t>Model - Rebased with prior CAF's</t>
  </si>
  <si>
    <t xml:space="preserve">Model </t>
  </si>
  <si>
    <t>Max Productivity Hours Calcs</t>
  </si>
  <si>
    <t>Days</t>
  </si>
  <si>
    <t>Hours</t>
  </si>
  <si>
    <t>FTE: 2080 hours</t>
  </si>
  <si>
    <t xml:space="preserve">Model Budget </t>
  </si>
  <si>
    <t>Model Budget (2022 Rate Review)</t>
  </si>
  <si>
    <t xml:space="preserve">vacation                    </t>
  </si>
  <si>
    <t>Current Rate Model good thru 6/30/20</t>
  </si>
  <si>
    <t>Rate Review model effective 7/1/22</t>
  </si>
  <si>
    <t xml:space="preserve">sick/ personal           </t>
  </si>
  <si>
    <t>holidays</t>
  </si>
  <si>
    <t>Salary</t>
  </si>
  <si>
    <t>FTE</t>
  </si>
  <si>
    <t>Expense</t>
  </si>
  <si>
    <t>training</t>
  </si>
  <si>
    <t>Program Director</t>
  </si>
  <si>
    <t>travel  (7.5hrs/wk, 44.9 work weeks)</t>
  </si>
  <si>
    <t>Clinical Team Leader</t>
  </si>
  <si>
    <t>Clinical Team Leader (LICSW)</t>
  </si>
  <si>
    <t>supervision                (2.5 hrs/44.9 wks.)</t>
  </si>
  <si>
    <t>Registered Nurse</t>
  </si>
  <si>
    <t>admin/clinical pprwk (5 hrs/44.9 wks)</t>
  </si>
  <si>
    <t>Occupational therapist</t>
  </si>
  <si>
    <t>case mngt /consult  (2.25 hr/44.9wks)</t>
  </si>
  <si>
    <t>Physical therapist</t>
  </si>
  <si>
    <t>Speech pathologist</t>
  </si>
  <si>
    <t>non-direct subtotal:</t>
  </si>
  <si>
    <t>Social Worker (LICSWs, LCSWs)</t>
  </si>
  <si>
    <r>
      <t>Social Worker</t>
    </r>
    <r>
      <rPr>
        <sz val="11"/>
        <rFont val="Arial"/>
        <family val="2"/>
      </rPr>
      <t xml:space="preserve"> (40% LICSWs, 60% LCSWs, )</t>
    </r>
  </si>
  <si>
    <t>Maximum # productivity hours/FTE</t>
  </si>
  <si>
    <t>Developmental specialist</t>
  </si>
  <si>
    <r>
      <t xml:space="preserve">Developmental specialist </t>
    </r>
    <r>
      <rPr>
        <sz val="14"/>
        <rFont val="Arial"/>
        <family val="2"/>
      </rPr>
      <t>(34% DC III, 33% BSW, 33% LCSWs)</t>
    </r>
  </si>
  <si>
    <t>Psychologist</t>
  </si>
  <si>
    <t>Benchmark</t>
  </si>
  <si>
    <t>Source</t>
  </si>
  <si>
    <t>Nutritionist</t>
  </si>
  <si>
    <t>Direct Care Consultant Services</t>
  </si>
  <si>
    <t>FY20UFR Wtg Avg</t>
  </si>
  <si>
    <t>Secretarial</t>
  </si>
  <si>
    <t>Benchmark Expenses</t>
  </si>
  <si>
    <t>Clerical -billing etc</t>
  </si>
  <si>
    <t>Occupancy</t>
  </si>
  <si>
    <t>Total Staffing costs:</t>
  </si>
  <si>
    <t>Other Program Expenses</t>
  </si>
  <si>
    <t>PFLMA Trust Contribution</t>
  </si>
  <si>
    <t>Prg Supplies and materials</t>
  </si>
  <si>
    <t>Tax &amp; fringe %:</t>
  </si>
  <si>
    <t>Tax &amp; fringe</t>
  </si>
  <si>
    <t>Admin. Allocation (includes prof ins./fees)</t>
  </si>
  <si>
    <t>c.257 Benchmark</t>
  </si>
  <si>
    <t>Total Compensation:</t>
  </si>
  <si>
    <t>CAF Rate</t>
  </si>
  <si>
    <t>FY23 &amp; FY24</t>
  </si>
  <si>
    <t>per FTE basis:</t>
  </si>
  <si>
    <t>Other Program Expense</t>
  </si>
  <si>
    <t>(staff training;staff travel; meals, etc)</t>
  </si>
  <si>
    <t>Prg Supplies and Materials</t>
  </si>
  <si>
    <t>Total Reimb excl M&amp;G</t>
  </si>
  <si>
    <t>Prg Supplies,Supp, Prof.fees</t>
  </si>
  <si>
    <t>Admin. Allocation</t>
  </si>
  <si>
    <t>TOTAL</t>
  </si>
  <si>
    <t>CAF:</t>
  </si>
  <si>
    <t>(a prospective CAF)</t>
  </si>
  <si>
    <t>Total Reimb exp with CAF:</t>
  </si>
  <si>
    <t>Max product.hrs</t>
  </si>
  <si>
    <t>FTE product #:</t>
  </si>
  <si>
    <t>Tot productive hrs:</t>
  </si>
  <si>
    <t>Weekley non Billable Hours</t>
  </si>
  <si>
    <t>per hour rate:</t>
  </si>
  <si>
    <t>Weekly Billable Hours</t>
  </si>
  <si>
    <t>Per 15 minutes</t>
  </si>
  <si>
    <t>Scheduled Hours</t>
  </si>
  <si>
    <t>Productivity</t>
  </si>
  <si>
    <t>Current rate: $94.00/hour</t>
  </si>
  <si>
    <t>Current Rate in regulation effective 7/1/18 - 6/30/20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</si>
</sst>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  <numFmt numFmtId="166" formatCode="&quot;$&quot;#,##0"/>
    <numFmt numFmtId="167" formatCode="\$#,##0"/>
    <numFmt numFmtId="168" formatCode="0.0"/>
    <numFmt numFmtId="169" formatCode="0.0%"/>
    <numFmt numFmtId="170" formatCode="_(* #,##0_);_(* \(#,##0\);_(* &quot;-&quot;??_);_(@_)"/>
    <numFmt numFmtId="171" formatCode="0.00000"/>
    <numFmt numFmtId="172" formatCode="\$#,##0.00"/>
    <numFmt numFmtId="173" formatCode="&quot;$&quot;#,##0.000_);\(&quot;$&quot;#,##0.000\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indexed="10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b/>
      <sz val="20"/>
      <name val="Calibri"/>
      <family val="2"/>
      <scheme val="minor"/>
    </font>
    <font>
      <i/>
      <sz val="20"/>
      <name val="Arial"/>
      <family val="2"/>
    </font>
    <font>
      <sz val="20"/>
      <name val="Calibri"/>
      <family val="2"/>
      <scheme val="minor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i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6"/>
      <name val="Calibri"/>
      <family val="2"/>
      <scheme val="minor"/>
    </font>
    <font>
      <b/>
      <sz val="10"/>
      <name val="Arial"/>
      <family val="2"/>
    </font>
    <font>
      <u/>
      <sz val="16"/>
      <name val="Arial"/>
      <family val="2"/>
    </font>
    <font>
      <sz val="11"/>
      <color indexed="8"/>
      <name val="Calibri"/>
      <family val="2"/>
    </font>
    <font>
      <sz val="14"/>
      <name val="Calibri"/>
      <family val="2"/>
      <scheme val="minor"/>
    </font>
    <font>
      <u/>
      <sz val="16"/>
      <name val="Calibri"/>
      <family val="2"/>
      <scheme val="minor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0"/>
      <name val="Arial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1" fillId="0" borderId="0" applyFont="0" applyFill="0" applyBorder="0" applyAlignment="0" applyProtection="0"/>
    <xf numFmtId="9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36" fillId="0" borderId="0"/>
  </cellStyleXfs>
  <cellXfs count="350">
    <xf numFmtId="0" fontId="0" fillId="0" borderId="0" xfId="0"/>
    <xf numFmtId="0" fontId="1" fillId="0" borderId="0" xfId="4" applyFont="1"/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1" fillId="0" borderId="0" xfId="4"/>
    <xf numFmtId="0" fontId="1" fillId="0" borderId="0" xfId="4" applyAlignment="1">
      <alignment wrapText="1"/>
    </xf>
    <xf numFmtId="0" fontId="7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164" fontId="8" fillId="0" borderId="0" xfId="4" applyNumberFormat="1" applyFont="1" applyAlignment="1">
      <alignment horizontal="left" vertical="top"/>
    </xf>
    <xf numFmtId="0" fontId="9" fillId="0" borderId="0" xfId="4" applyFont="1"/>
    <xf numFmtId="0" fontId="9" fillId="0" borderId="0" xfId="4" applyFont="1" applyAlignment="1">
      <alignment wrapText="1"/>
    </xf>
    <xf numFmtId="0" fontId="8" fillId="0" borderId="0" xfId="4" applyFont="1"/>
    <xf numFmtId="9" fontId="8" fillId="0" borderId="0" xfId="4" applyNumberFormat="1" applyFont="1" applyAlignment="1">
      <alignment horizontal="center" wrapText="1"/>
    </xf>
    <xf numFmtId="9" fontId="8" fillId="0" borderId="0" xfId="4" applyNumberFormat="1" applyFont="1" applyAlignment="1">
      <alignment horizontal="center"/>
    </xf>
    <xf numFmtId="0" fontId="8" fillId="0" borderId="0" xfId="4" applyFont="1" applyAlignment="1">
      <alignment horizontal="left" wrapText="1"/>
    </xf>
    <xf numFmtId="0" fontId="9" fillId="0" borderId="1" xfId="4" applyFont="1" applyBorder="1"/>
    <xf numFmtId="165" fontId="9" fillId="0" borderId="2" xfId="4" applyNumberFormat="1" applyFont="1" applyBorder="1" applyAlignment="1">
      <alignment horizontal="center"/>
    </xf>
    <xf numFmtId="9" fontId="9" fillId="0" borderId="2" xfId="5" applyFont="1" applyBorder="1" applyAlignment="1">
      <alignment horizontal="center"/>
    </xf>
    <xf numFmtId="0" fontId="9" fillId="0" borderId="3" xfId="4" applyFont="1" applyBorder="1" applyAlignment="1">
      <alignment horizontal="left" vertical="top" wrapText="1"/>
    </xf>
    <xf numFmtId="0" fontId="9" fillId="0" borderId="4" xfId="4" applyFont="1" applyBorder="1" applyAlignment="1">
      <alignment horizontal="left" vertical="center" wrapText="1"/>
    </xf>
    <xf numFmtId="165" fontId="1" fillId="0" borderId="5" xfId="4" applyNumberFormat="1" applyBorder="1"/>
    <xf numFmtId="165" fontId="1" fillId="0" borderId="0" xfId="4" applyNumberFormat="1"/>
    <xf numFmtId="0" fontId="9" fillId="0" borderId="6" xfId="4" applyFont="1" applyBorder="1"/>
    <xf numFmtId="166" fontId="9" fillId="0" borderId="7" xfId="4" applyNumberFormat="1" applyFont="1" applyFill="1" applyBorder="1" applyAlignment="1">
      <alignment horizontal="center"/>
    </xf>
    <xf numFmtId="166" fontId="9" fillId="0" borderId="7" xfId="4" applyNumberFormat="1" applyFont="1" applyBorder="1" applyAlignment="1">
      <alignment horizontal="center"/>
    </xf>
    <xf numFmtId="9" fontId="9" fillId="0" borderId="8" xfId="5" applyFont="1" applyBorder="1" applyAlignment="1">
      <alignment horizontal="center"/>
    </xf>
    <xf numFmtId="0" fontId="9" fillId="0" borderId="7" xfId="4" applyFont="1" applyBorder="1" applyAlignment="1">
      <alignment horizontal="left" vertical="top" wrapText="1"/>
    </xf>
    <xf numFmtId="0" fontId="9" fillId="0" borderId="9" xfId="4" applyFont="1" applyBorder="1" applyAlignment="1">
      <alignment horizontal="left" vertical="center" wrapText="1"/>
    </xf>
    <xf numFmtId="166" fontId="1" fillId="0" borderId="10" xfId="4" applyNumberFormat="1" applyBorder="1"/>
    <xf numFmtId="165" fontId="9" fillId="0" borderId="2" xfId="4" applyNumberFormat="1" applyFont="1" applyFill="1" applyBorder="1" applyAlignment="1">
      <alignment horizontal="center"/>
    </xf>
    <xf numFmtId="0" fontId="9" fillId="0" borderId="3" xfId="4" applyFont="1" applyBorder="1"/>
    <xf numFmtId="0" fontId="9" fillId="0" borderId="11" xfId="4" applyFont="1" applyBorder="1"/>
    <xf numFmtId="166" fontId="9" fillId="0" borderId="0" xfId="4" applyNumberFormat="1" applyFont="1" applyFill="1" applyBorder="1" applyAlignment="1">
      <alignment horizontal="center"/>
    </xf>
    <xf numFmtId="166" fontId="9" fillId="0" borderId="0" xfId="4" applyNumberFormat="1" applyFont="1" applyBorder="1" applyAlignment="1">
      <alignment horizontal="center"/>
    </xf>
    <xf numFmtId="9" fontId="9" fillId="0" borderId="12" xfId="5" applyFont="1" applyBorder="1" applyAlignment="1">
      <alignment horizontal="center"/>
    </xf>
    <xf numFmtId="0" fontId="9" fillId="0" borderId="0" xfId="4" applyFont="1" applyBorder="1"/>
    <xf numFmtId="0" fontId="9" fillId="0" borderId="13" xfId="4" applyFont="1" applyBorder="1" applyAlignment="1">
      <alignment horizontal="left" vertical="center" wrapText="1"/>
    </xf>
    <xf numFmtId="0" fontId="9" fillId="0" borderId="3" xfId="4" applyFont="1" applyFill="1" applyBorder="1"/>
    <xf numFmtId="165" fontId="2" fillId="0" borderId="0" xfId="4" applyNumberFormat="1" applyFont="1"/>
    <xf numFmtId="0" fontId="9" fillId="0" borderId="7" xfId="4" applyFont="1" applyBorder="1"/>
    <xf numFmtId="165" fontId="1" fillId="0" borderId="5" xfId="4" applyNumberFormat="1" applyBorder="1" applyAlignment="1">
      <alignment horizontal="right" vertical="center"/>
    </xf>
    <xf numFmtId="165" fontId="1" fillId="0" borderId="10" xfId="4" applyNumberFormat="1" applyBorder="1" applyAlignment="1">
      <alignment horizontal="right" vertical="center"/>
    </xf>
    <xf numFmtId="0" fontId="9" fillId="0" borderId="1" xfId="4" applyFont="1" applyBorder="1" applyAlignment="1">
      <alignment wrapText="1"/>
    </xf>
    <xf numFmtId="0" fontId="9" fillId="0" borderId="6" xfId="4" applyFont="1" applyBorder="1" applyAlignment="1">
      <alignment wrapText="1"/>
    </xf>
    <xf numFmtId="166" fontId="1" fillId="0" borderId="14" xfId="4" applyNumberFormat="1" applyBorder="1"/>
    <xf numFmtId="165" fontId="9" fillId="0" borderId="3" xfId="4" applyNumberFormat="1" applyFont="1" applyFill="1" applyBorder="1" applyAlignment="1">
      <alignment horizontal="center"/>
    </xf>
    <xf numFmtId="166" fontId="9" fillId="0" borderId="3" xfId="4" applyNumberFormat="1" applyFont="1" applyBorder="1" applyAlignment="1">
      <alignment horizontal="center"/>
    </xf>
    <xf numFmtId="9" fontId="9" fillId="0" borderId="3" xfId="5" applyFont="1" applyBorder="1" applyAlignment="1">
      <alignment horizontal="center"/>
    </xf>
    <xf numFmtId="9" fontId="9" fillId="0" borderId="7" xfId="5" applyFont="1" applyBorder="1" applyAlignment="1">
      <alignment horizontal="center"/>
    </xf>
    <xf numFmtId="0" fontId="9" fillId="0" borderId="11" xfId="4" applyFont="1" applyFill="1" applyBorder="1"/>
    <xf numFmtId="165" fontId="9" fillId="0" borderId="0" xfId="4" applyNumberFormat="1" applyFont="1" applyFill="1" applyBorder="1" applyAlignment="1">
      <alignment horizontal="center"/>
    </xf>
    <xf numFmtId="9" fontId="9" fillId="0" borderId="0" xfId="5" applyFont="1" applyFill="1" applyBorder="1" applyAlignment="1">
      <alignment horizontal="center"/>
    </xf>
    <xf numFmtId="0" fontId="9" fillId="0" borderId="0" xfId="4" applyFont="1" applyFill="1" applyBorder="1"/>
    <xf numFmtId="0" fontId="9" fillId="0" borderId="4" xfId="4" applyFont="1" applyFill="1" applyBorder="1" applyAlignment="1">
      <alignment horizontal="left" vertical="center" wrapText="1"/>
    </xf>
    <xf numFmtId="166" fontId="1" fillId="0" borderId="14" xfId="4" applyNumberFormat="1" applyFill="1" applyBorder="1"/>
    <xf numFmtId="0" fontId="1" fillId="0" borderId="0" xfId="4" applyFill="1"/>
    <xf numFmtId="165" fontId="1" fillId="0" borderId="0" xfId="4" applyNumberFormat="1" applyFill="1"/>
    <xf numFmtId="0" fontId="9" fillId="0" borderId="6" xfId="4" applyFont="1" applyFill="1" applyBorder="1"/>
    <xf numFmtId="9" fontId="9" fillId="0" borderId="7" xfId="5" applyFont="1" applyFill="1" applyBorder="1" applyAlignment="1">
      <alignment horizontal="center"/>
    </xf>
    <xf numFmtId="0" fontId="9" fillId="0" borderId="7" xfId="4" applyFont="1" applyFill="1" applyBorder="1"/>
    <xf numFmtId="0" fontId="9" fillId="0" borderId="9" xfId="4" applyFont="1" applyFill="1" applyBorder="1" applyAlignment="1">
      <alignment horizontal="left" vertical="center" wrapText="1"/>
    </xf>
    <xf numFmtId="9" fontId="9" fillId="0" borderId="0" xfId="5" applyFont="1" applyBorder="1" applyAlignment="1">
      <alignment horizontal="center"/>
    </xf>
    <xf numFmtId="0" fontId="9" fillId="0" borderId="3" xfId="4" applyFont="1" applyBorder="1" applyAlignment="1">
      <alignment vertical="top" wrapText="1"/>
    </xf>
    <xf numFmtId="0" fontId="9" fillId="0" borderId="7" xfId="4" applyFont="1" applyBorder="1" applyAlignment="1">
      <alignment vertical="top" wrapText="1"/>
    </xf>
    <xf numFmtId="165" fontId="1" fillId="0" borderId="14" xfId="4" applyNumberFormat="1" applyBorder="1"/>
    <xf numFmtId="0" fontId="12" fillId="0" borderId="0" xfId="4" applyFont="1" applyAlignment="1">
      <alignment horizontal="right" wrapText="1"/>
    </xf>
    <xf numFmtId="166" fontId="12" fillId="0" borderId="0" xfId="4" applyNumberFormat="1" applyFont="1"/>
    <xf numFmtId="0" fontId="12" fillId="0" borderId="0" xfId="4" applyFont="1"/>
    <xf numFmtId="0" fontId="12" fillId="0" borderId="0" xfId="4" applyFont="1" applyAlignment="1">
      <alignment wrapText="1"/>
    </xf>
    <xf numFmtId="165" fontId="12" fillId="0" borderId="0" xfId="4" applyNumberFormat="1" applyFont="1"/>
    <xf numFmtId="0" fontId="12" fillId="0" borderId="0" xfId="4" applyFont="1" applyAlignment="1">
      <alignment horizontal="right"/>
    </xf>
    <xf numFmtId="10" fontId="12" fillId="0" borderId="0" xfId="3" applyNumberFormat="1" applyFont="1"/>
    <xf numFmtId="0" fontId="12" fillId="0" borderId="0" xfId="4" applyFont="1" applyFill="1" applyAlignment="1">
      <alignment horizontal="right"/>
    </xf>
    <xf numFmtId="9" fontId="12" fillId="0" borderId="0" xfId="3" applyNumberFormat="1" applyFont="1"/>
    <xf numFmtId="0" fontId="13" fillId="0" borderId="0" xfId="0" applyFont="1" applyAlignment="1">
      <alignment horizontal="center"/>
    </xf>
    <xf numFmtId="167" fontId="14" fillId="0" borderId="15" xfId="0" applyNumberFormat="1" applyFont="1" applyBorder="1" applyAlignment="1">
      <alignment horizontal="center"/>
    </xf>
    <xf numFmtId="0" fontId="13" fillId="0" borderId="0" xfId="0" applyFont="1"/>
    <xf numFmtId="0" fontId="15" fillId="2" borderId="0" xfId="0" applyFont="1" applyFill="1" applyAlignment="1">
      <alignment horizontal="center"/>
    </xf>
    <xf numFmtId="0" fontId="16" fillId="0" borderId="0" xfId="0" applyFont="1" applyBorder="1"/>
    <xf numFmtId="0" fontId="14" fillId="0" borderId="0" xfId="0" applyFont="1" applyBorder="1" applyAlignment="1">
      <alignment horizontal="center"/>
    </xf>
    <xf numFmtId="0" fontId="17" fillId="0" borderId="0" xfId="0" applyFont="1"/>
    <xf numFmtId="0" fontId="15" fillId="0" borderId="0" xfId="0" applyFont="1" applyAlignment="1">
      <alignment horizontal="center"/>
    </xf>
    <xf numFmtId="0" fontId="18" fillId="0" borderId="1" xfId="0" applyFont="1" applyBorder="1"/>
    <xf numFmtId="0" fontId="18" fillId="0" borderId="3" xfId="0" applyFont="1" applyFill="1" applyBorder="1" applyAlignment="1">
      <alignment horizontal="center"/>
    </xf>
    <xf numFmtId="167" fontId="18" fillId="0" borderId="3" xfId="0" applyNumberFormat="1" applyFont="1" applyBorder="1" applyAlignment="1">
      <alignment horizontal="center"/>
    </xf>
    <xf numFmtId="1" fontId="18" fillId="0" borderId="3" xfId="0" applyNumberFormat="1" applyFont="1" applyFill="1" applyBorder="1" applyAlignment="1">
      <alignment horizontal="left"/>
    </xf>
    <xf numFmtId="0" fontId="18" fillId="0" borderId="16" xfId="0" applyNumberFormat="1" applyFont="1" applyBorder="1" applyAlignment="1">
      <alignment horizontal="center"/>
    </xf>
    <xf numFmtId="0" fontId="13" fillId="0" borderId="17" xfId="0" applyFont="1" applyBorder="1"/>
    <xf numFmtId="0" fontId="14" fillId="2" borderId="7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7" fillId="0" borderId="19" xfId="0" applyFont="1" applyBorder="1"/>
    <xf numFmtId="0" fontId="14" fillId="3" borderId="0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9" fillId="0" borderId="11" xfId="0" applyFont="1" applyBorder="1"/>
    <xf numFmtId="0" fontId="19" fillId="0" borderId="0" xfId="0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right"/>
    </xf>
    <xf numFmtId="168" fontId="19" fillId="0" borderId="13" xfId="0" applyNumberFormat="1" applyFont="1" applyBorder="1" applyAlignment="1">
      <alignment horizontal="center"/>
    </xf>
    <xf numFmtId="0" fontId="21" fillId="0" borderId="0" xfId="0" applyFont="1" applyBorder="1"/>
    <xf numFmtId="0" fontId="22" fillId="2" borderId="1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23" fillId="0" borderId="0" xfId="0" applyFont="1" applyBorder="1"/>
    <xf numFmtId="0" fontId="18" fillId="0" borderId="0" xfId="0" applyFont="1" applyAlignment="1">
      <alignment horizontal="left"/>
    </xf>
    <xf numFmtId="0" fontId="18" fillId="0" borderId="0" xfId="0" applyFont="1"/>
    <xf numFmtId="0" fontId="23" fillId="0" borderId="0" xfId="0" applyFont="1"/>
    <xf numFmtId="0" fontId="22" fillId="0" borderId="20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4" fillId="2" borderId="11" xfId="0" applyFont="1" applyFill="1" applyBorder="1"/>
    <xf numFmtId="0" fontId="25" fillId="2" borderId="0" xfId="0" applyFont="1" applyFill="1" applyBorder="1"/>
    <xf numFmtId="0" fontId="25" fillId="2" borderId="0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0" fontId="6" fillId="0" borderId="0" xfId="0" applyFont="1"/>
    <xf numFmtId="0" fontId="24" fillId="0" borderId="11" xfId="0" applyFont="1" applyFill="1" applyBorder="1"/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right"/>
    </xf>
    <xf numFmtId="0" fontId="22" fillId="2" borderId="23" xfId="0" applyFont="1" applyFill="1" applyBorder="1"/>
    <xf numFmtId="0" fontId="22" fillId="2" borderId="24" xfId="0" applyFont="1" applyFill="1" applyBorder="1"/>
    <xf numFmtId="0" fontId="22" fillId="2" borderId="24" xfId="0" applyFont="1" applyFill="1" applyBorder="1" applyAlignment="1">
      <alignment horizontal="center"/>
    </xf>
    <xf numFmtId="0" fontId="22" fillId="2" borderId="25" xfId="0" applyFont="1" applyFill="1" applyBorder="1" applyAlignment="1">
      <alignment horizontal="right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22" fillId="0" borderId="23" xfId="0" applyFont="1" applyFill="1" applyBorder="1"/>
    <xf numFmtId="0" fontId="22" fillId="0" borderId="24" xfId="0" applyFont="1" applyFill="1" applyBorder="1"/>
    <xf numFmtId="0" fontId="22" fillId="0" borderId="24" xfId="0" applyFont="1" applyFill="1" applyBorder="1" applyAlignment="1">
      <alignment horizontal="center"/>
    </xf>
    <xf numFmtId="0" fontId="22" fillId="0" borderId="25" xfId="0" applyFont="1" applyFill="1" applyBorder="1" applyAlignment="1">
      <alignment horizontal="right"/>
    </xf>
    <xf numFmtId="0" fontId="19" fillId="0" borderId="11" xfId="0" applyFont="1" applyBorder="1" applyAlignment="1">
      <alignment horizontal="left"/>
    </xf>
    <xf numFmtId="1" fontId="20" fillId="0" borderId="0" xfId="0" applyNumberFormat="1" applyFont="1" applyFill="1" applyBorder="1" applyAlignment="1">
      <alignment horizontal="center"/>
    </xf>
    <xf numFmtId="0" fontId="25" fillId="2" borderId="26" xfId="0" applyFont="1" applyFill="1" applyBorder="1" applyAlignment="1"/>
    <xf numFmtId="6" fontId="25" fillId="2" borderId="0" xfId="0" applyNumberFormat="1" applyFont="1" applyFill="1" applyBorder="1" applyAlignment="1">
      <alignment horizontal="center"/>
    </xf>
    <xf numFmtId="4" fontId="25" fillId="2" borderId="0" xfId="0" applyNumberFormat="1" applyFont="1" applyFill="1" applyBorder="1" applyAlignment="1">
      <alignment horizontal="center"/>
    </xf>
    <xf numFmtId="5" fontId="25" fillId="2" borderId="13" xfId="0" applyNumberFormat="1" applyFont="1" applyFill="1" applyBorder="1" applyAlignment="1">
      <alignment horizontal="right"/>
    </xf>
    <xf numFmtId="6" fontId="21" fillId="0" borderId="0" xfId="0" applyNumberFormat="1" applyFont="1" applyAlignment="1">
      <alignment horizontal="center"/>
    </xf>
    <xf numFmtId="0" fontId="25" fillId="0" borderId="26" xfId="0" applyFont="1" applyFill="1" applyBorder="1" applyAlignment="1"/>
    <xf numFmtId="6" fontId="25" fillId="0" borderId="0" xfId="0" applyNumberFormat="1" applyFont="1" applyFill="1" applyBorder="1" applyAlignment="1">
      <alignment horizontal="center"/>
    </xf>
    <xf numFmtId="4" fontId="25" fillId="0" borderId="0" xfId="0" applyNumberFormat="1" applyFont="1" applyFill="1" applyBorder="1" applyAlignment="1">
      <alignment horizontal="center"/>
    </xf>
    <xf numFmtId="5" fontId="25" fillId="0" borderId="13" xfId="0" applyNumberFormat="1" applyFont="1" applyFill="1" applyBorder="1" applyAlignment="1">
      <alignment horizontal="right"/>
    </xf>
    <xf numFmtId="168" fontId="20" fillId="0" borderId="0" xfId="0" applyNumberFormat="1" applyFont="1" applyFill="1" applyBorder="1" applyAlignment="1">
      <alignment horizontal="right"/>
    </xf>
    <xf numFmtId="0" fontId="25" fillId="2" borderId="11" xfId="0" applyFont="1" applyFill="1" applyBorder="1" applyAlignment="1"/>
    <xf numFmtId="0" fontId="25" fillId="0" borderId="11" xfId="0" applyFont="1" applyFill="1" applyBorder="1" applyAlignment="1"/>
    <xf numFmtId="169" fontId="19" fillId="0" borderId="0" xfId="6" applyNumberFormat="1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9" fillId="0" borderId="0" xfId="0" applyFont="1" applyBorder="1"/>
    <xf numFmtId="0" fontId="19" fillId="0" borderId="13" xfId="0" applyFont="1" applyBorder="1" applyAlignment="1">
      <alignment horizontal="center"/>
    </xf>
    <xf numFmtId="6" fontId="21" fillId="0" borderId="0" xfId="0" applyNumberFormat="1" applyFont="1" applyBorder="1" applyAlignment="1">
      <alignment horizontal="center"/>
    </xf>
    <xf numFmtId="0" fontId="20" fillId="0" borderId="0" xfId="0" applyFont="1" applyBorder="1"/>
    <xf numFmtId="167" fontId="20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/>
    <xf numFmtId="167" fontId="19" fillId="0" borderId="0" xfId="0" applyNumberFormat="1" applyFont="1" applyBorder="1"/>
    <xf numFmtId="6" fontId="19" fillId="0" borderId="0" xfId="0" applyNumberFormat="1" applyFont="1" applyBorder="1" applyAlignment="1">
      <alignment horizontal="center"/>
    </xf>
    <xf numFmtId="1" fontId="19" fillId="0" borderId="13" xfId="0" applyNumberFormat="1" applyFont="1" applyBorder="1" applyAlignment="1">
      <alignment horizontal="center"/>
    </xf>
    <xf numFmtId="0" fontId="25" fillId="2" borderId="11" xfId="0" applyFont="1" applyFill="1" applyBorder="1"/>
    <xf numFmtId="0" fontId="22" fillId="2" borderId="0" xfId="0" applyFont="1" applyFill="1" applyBorder="1"/>
    <xf numFmtId="0" fontId="25" fillId="0" borderId="11" xfId="0" applyFont="1" applyFill="1" applyBorder="1"/>
    <xf numFmtId="0" fontId="22" fillId="0" borderId="0" xfId="0" applyFont="1" applyFill="1" applyBorder="1"/>
    <xf numFmtId="0" fontId="11" fillId="0" borderId="0" xfId="0" applyFont="1" applyBorder="1" applyAlignment="1">
      <alignment horizontal="center"/>
    </xf>
    <xf numFmtId="0" fontId="20" fillId="0" borderId="6" xfId="0" applyFont="1" applyBorder="1"/>
    <xf numFmtId="0" fontId="20" fillId="0" borderId="7" xfId="0" applyFont="1" applyBorder="1"/>
    <xf numFmtId="167" fontId="20" fillId="0" borderId="7" xfId="0" applyNumberFormat="1" applyFont="1" applyBorder="1" applyAlignment="1">
      <alignment horizontal="center"/>
    </xf>
    <xf numFmtId="1" fontId="19" fillId="0" borderId="9" xfId="0" applyNumberFormat="1" applyFont="1" applyFill="1" applyBorder="1" applyAlignment="1">
      <alignment horizontal="center"/>
    </xf>
    <xf numFmtId="10" fontId="21" fillId="0" borderId="0" xfId="3" applyNumberFormat="1" applyFont="1" applyAlignment="1">
      <alignment horizontal="center"/>
    </xf>
    <xf numFmtId="0" fontId="20" fillId="0" borderId="11" xfId="0" applyFont="1" applyBorder="1"/>
    <xf numFmtId="167" fontId="19" fillId="0" borderId="0" xfId="0" applyNumberFormat="1" applyFont="1" applyBorder="1" applyAlignment="1">
      <alignment horizontal="right"/>
    </xf>
    <xf numFmtId="0" fontId="20" fillId="0" borderId="12" xfId="0" quotePrefix="1" applyNumberFormat="1" applyFont="1" applyBorder="1" applyAlignment="1">
      <alignment horizontal="center"/>
    </xf>
    <xf numFmtId="0" fontId="20" fillId="0" borderId="27" xfId="0" quotePrefix="1" applyNumberFormat="1" applyFont="1" applyBorder="1" applyAlignment="1">
      <alignment horizontal="center"/>
    </xf>
    <xf numFmtId="167" fontId="20" fillId="0" borderId="11" xfId="0" applyNumberFormat="1" applyFont="1" applyBorder="1"/>
    <xf numFmtId="2" fontId="19" fillId="0" borderId="0" xfId="0" applyNumberFormat="1" applyFont="1" applyBorder="1" applyAlignment="1">
      <alignment horizontal="center"/>
    </xf>
    <xf numFmtId="2" fontId="19" fillId="0" borderId="13" xfId="0" applyNumberFormat="1" applyFont="1" applyBorder="1" applyAlignment="1">
      <alignment horizontal="left"/>
    </xf>
    <xf numFmtId="167" fontId="19" fillId="0" borderId="11" xfId="0" applyNumberFormat="1" applyFont="1" applyBorder="1"/>
    <xf numFmtId="170" fontId="19" fillId="0" borderId="0" xfId="1" applyNumberFormat="1" applyFont="1" applyFill="1" applyBorder="1" applyAlignment="1">
      <alignment horizontal="center"/>
    </xf>
    <xf numFmtId="166" fontId="19" fillId="0" borderId="0" xfId="0" applyNumberFormat="1" applyFont="1" applyFill="1" applyAlignment="1">
      <alignment horizontal="center"/>
    </xf>
    <xf numFmtId="0" fontId="19" fillId="0" borderId="13" xfId="0" applyFont="1" applyBorder="1"/>
    <xf numFmtId="0" fontId="25" fillId="2" borderId="23" xfId="0" applyFont="1" applyFill="1" applyBorder="1"/>
    <xf numFmtId="6" fontId="25" fillId="2" borderId="24" xfId="0" applyNumberFormat="1" applyFont="1" applyFill="1" applyBorder="1" applyAlignment="1">
      <alignment horizontal="center"/>
    </xf>
    <xf numFmtId="4" fontId="25" fillId="2" borderId="24" xfId="0" applyNumberFormat="1" applyFont="1" applyFill="1" applyBorder="1" applyAlignment="1">
      <alignment horizontal="center"/>
    </xf>
    <xf numFmtId="5" fontId="25" fillId="2" borderId="25" xfId="0" applyNumberFormat="1" applyFont="1" applyFill="1" applyBorder="1" applyAlignment="1">
      <alignment horizontal="right"/>
    </xf>
    <xf numFmtId="0" fontId="25" fillId="0" borderId="23" xfId="0" applyFont="1" applyFill="1" applyBorder="1"/>
    <xf numFmtId="6" fontId="25" fillId="0" borderId="24" xfId="0" applyNumberFormat="1" applyFont="1" applyFill="1" applyBorder="1" applyAlignment="1">
      <alignment horizontal="center"/>
    </xf>
    <xf numFmtId="4" fontId="25" fillId="0" borderId="24" xfId="0" applyNumberFormat="1" applyFont="1" applyFill="1" applyBorder="1" applyAlignment="1">
      <alignment horizontal="center"/>
    </xf>
    <xf numFmtId="5" fontId="25" fillId="0" borderId="25" xfId="0" applyNumberFormat="1" applyFont="1" applyFill="1" applyBorder="1" applyAlignment="1">
      <alignment horizontal="right"/>
    </xf>
    <xf numFmtId="8" fontId="19" fillId="0" borderId="0" xfId="7" applyNumberFormat="1" applyFont="1" applyFill="1" applyBorder="1"/>
    <xf numFmtId="166" fontId="19" fillId="0" borderId="0" xfId="0" applyNumberFormat="1" applyFont="1" applyAlignment="1">
      <alignment horizontal="center"/>
    </xf>
    <xf numFmtId="0" fontId="25" fillId="2" borderId="23" xfId="0" applyFont="1" applyFill="1" applyBorder="1" applyAlignment="1">
      <alignment horizontal="right"/>
    </xf>
    <xf numFmtId="42" fontId="25" fillId="2" borderId="28" xfId="0" applyNumberFormat="1" applyFont="1" applyFill="1" applyBorder="1"/>
    <xf numFmtId="42" fontId="21" fillId="0" borderId="0" xfId="0" applyNumberFormat="1" applyFont="1" applyBorder="1"/>
    <xf numFmtId="0" fontId="25" fillId="0" borderId="23" xfId="0" applyFont="1" applyFill="1" applyBorder="1" applyAlignment="1">
      <alignment horizontal="right"/>
    </xf>
    <xf numFmtId="42" fontId="25" fillId="0" borderId="28" xfId="0" applyNumberFormat="1" applyFont="1" applyFill="1" applyBorder="1"/>
    <xf numFmtId="10" fontId="27" fillId="0" borderId="0" xfId="3" applyNumberFormat="1" applyFont="1"/>
    <xf numFmtId="7" fontId="19" fillId="0" borderId="0" xfId="7" applyNumberFormat="1" applyFont="1" applyFill="1" applyBorder="1"/>
    <xf numFmtId="10" fontId="25" fillId="2" borderId="0" xfId="0" applyNumberFormat="1" applyFont="1" applyFill="1" applyBorder="1" applyAlignment="1">
      <alignment horizontal="center"/>
    </xf>
    <xf numFmtId="44" fontId="22" fillId="2" borderId="0" xfId="0" applyNumberFormat="1" applyFont="1" applyFill="1" applyBorder="1" applyAlignment="1">
      <alignment horizontal="center"/>
    </xf>
    <xf numFmtId="42" fontId="22" fillId="2" borderId="13" xfId="0" applyNumberFormat="1" applyFont="1" applyFill="1" applyBorder="1" applyAlignment="1">
      <alignment horizontal="right"/>
    </xf>
    <xf numFmtId="44" fontId="21" fillId="0" borderId="0" xfId="2" applyFont="1" applyAlignment="1">
      <alignment horizontal="center"/>
    </xf>
    <xf numFmtId="0" fontId="25" fillId="0" borderId="11" xfId="0" applyFont="1" applyFill="1" applyBorder="1" applyAlignment="1">
      <alignment horizontal="right"/>
    </xf>
    <xf numFmtId="10" fontId="25" fillId="0" borderId="0" xfId="0" applyNumberFormat="1" applyFont="1" applyFill="1" applyBorder="1" applyAlignment="1">
      <alignment horizontal="center"/>
    </xf>
    <xf numFmtId="44" fontId="22" fillId="0" borderId="0" xfId="0" applyNumberFormat="1" applyFont="1" applyFill="1" applyBorder="1" applyAlignment="1">
      <alignment horizontal="center"/>
    </xf>
    <xf numFmtId="0" fontId="21" fillId="0" borderId="11" xfId="0" applyFont="1" applyBorder="1"/>
    <xf numFmtId="10" fontId="25" fillId="2" borderId="24" xfId="0" applyNumberFormat="1" applyFont="1" applyFill="1" applyBorder="1" applyAlignment="1">
      <alignment horizontal="center"/>
    </xf>
    <xf numFmtId="44" fontId="22" fillId="2" borderId="24" xfId="0" applyNumberFormat="1" applyFont="1" applyFill="1" applyBorder="1" applyAlignment="1">
      <alignment horizontal="center"/>
    </xf>
    <xf numFmtId="10" fontId="21" fillId="0" borderId="0" xfId="0" applyNumberFormat="1" applyFont="1" applyBorder="1" applyAlignment="1">
      <alignment horizontal="center"/>
    </xf>
    <xf numFmtId="10" fontId="25" fillId="0" borderId="24" xfId="0" applyNumberFormat="1" applyFont="1" applyFill="1" applyBorder="1" applyAlignment="1">
      <alignment horizontal="center"/>
    </xf>
    <xf numFmtId="44" fontId="22" fillId="0" borderId="24" xfId="0" applyNumberFormat="1" applyFont="1" applyFill="1" applyBorder="1" applyAlignment="1">
      <alignment horizontal="center"/>
    </xf>
    <xf numFmtId="10" fontId="19" fillId="0" borderId="0" xfId="0" applyNumberFormat="1" applyFont="1" applyFill="1" applyBorder="1"/>
    <xf numFmtId="9" fontId="19" fillId="0" borderId="0" xfId="0" applyNumberFormat="1" applyFont="1" applyAlignment="1">
      <alignment horizontal="center"/>
    </xf>
    <xf numFmtId="0" fontId="19" fillId="0" borderId="13" xfId="0" applyFont="1" applyFill="1" applyBorder="1"/>
    <xf numFmtId="0" fontId="25" fillId="2" borderId="24" xfId="0" applyFont="1" applyFill="1" applyBorder="1"/>
    <xf numFmtId="0" fontId="25" fillId="2" borderId="24" xfId="0" applyFont="1" applyFill="1" applyBorder="1" applyAlignment="1">
      <alignment horizontal="center"/>
    </xf>
    <xf numFmtId="5" fontId="25" fillId="2" borderId="29" xfId="0" applyNumberFormat="1" applyFont="1" applyFill="1" applyBorder="1" applyAlignment="1">
      <alignment horizontal="right"/>
    </xf>
    <xf numFmtId="0" fontId="25" fillId="0" borderId="24" xfId="0" applyFont="1" applyFill="1" applyBorder="1"/>
    <xf numFmtId="0" fontId="25" fillId="0" borderId="24" xfId="0" applyFont="1" applyFill="1" applyBorder="1" applyAlignment="1">
      <alignment horizontal="center"/>
    </xf>
    <xf numFmtId="5" fontId="25" fillId="0" borderId="29" xfId="0" applyNumberFormat="1" applyFont="1" applyFill="1" applyBorder="1" applyAlignment="1">
      <alignment horizontal="right"/>
    </xf>
    <xf numFmtId="0" fontId="20" fillId="0" borderId="13" xfId="0" applyFont="1" applyFill="1" applyBorder="1"/>
    <xf numFmtId="167" fontId="25" fillId="2" borderId="11" xfId="0" applyNumberFormat="1" applyFont="1" applyFill="1" applyBorder="1"/>
    <xf numFmtId="8" fontId="25" fillId="2" borderId="0" xfId="0" applyNumberFormat="1" applyFont="1" applyFill="1" applyBorder="1" applyAlignment="1">
      <alignment horizontal="center"/>
    </xf>
    <xf numFmtId="5" fontId="25" fillId="2" borderId="27" xfId="0" applyNumberFormat="1" applyFont="1" applyFill="1" applyBorder="1" applyAlignment="1">
      <alignment horizontal="right"/>
    </xf>
    <xf numFmtId="10" fontId="21" fillId="0" borderId="0" xfId="0" applyNumberFormat="1" applyFont="1" applyAlignment="1">
      <alignment horizontal="center"/>
    </xf>
    <xf numFmtId="167" fontId="25" fillId="0" borderId="11" xfId="0" applyNumberFormat="1" applyFont="1" applyFill="1" applyBorder="1"/>
    <xf numFmtId="0" fontId="19" fillId="0" borderId="30" xfId="0" applyFont="1" applyBorder="1"/>
    <xf numFmtId="0" fontId="19" fillId="0" borderId="8" xfId="0" applyFont="1" applyBorder="1"/>
    <xf numFmtId="10" fontId="19" fillId="0" borderId="8" xfId="0" applyNumberFormat="1" applyFont="1" applyBorder="1"/>
    <xf numFmtId="10" fontId="20" fillId="0" borderId="8" xfId="6" applyNumberFormat="1" applyFont="1" applyFill="1" applyBorder="1" applyAlignment="1">
      <alignment horizontal="center"/>
    </xf>
    <xf numFmtId="0" fontId="20" fillId="0" borderId="9" xfId="0" applyFont="1" applyFill="1" applyBorder="1"/>
    <xf numFmtId="168" fontId="25" fillId="2" borderId="11" xfId="0" applyNumberFormat="1" applyFont="1" applyFill="1" applyBorder="1"/>
    <xf numFmtId="44" fontId="25" fillId="2" borderId="0" xfId="0" applyNumberFormat="1" applyFont="1" applyFill="1" applyBorder="1" applyAlignment="1">
      <alignment horizontal="center"/>
    </xf>
    <xf numFmtId="0" fontId="11" fillId="0" borderId="0" xfId="0" applyFont="1" applyBorder="1"/>
    <xf numFmtId="10" fontId="11" fillId="0" borderId="0" xfId="6" applyNumberFormat="1" applyFont="1" applyFill="1" applyBorder="1"/>
    <xf numFmtId="0" fontId="28" fillId="0" borderId="0" xfId="0" applyFont="1" applyFill="1" applyBorder="1"/>
    <xf numFmtId="166" fontId="25" fillId="0" borderId="0" xfId="0" applyNumberFormat="1" applyFont="1" applyFill="1" applyBorder="1" applyAlignment="1">
      <alignment horizontal="center"/>
    </xf>
    <xf numFmtId="0" fontId="25" fillId="0" borderId="11" xfId="0" applyFont="1" applyFill="1" applyBorder="1" applyAlignment="1">
      <alignment horizontal="right" vertical="center"/>
    </xf>
    <xf numFmtId="0" fontId="28" fillId="0" borderId="0" xfId="0" applyFont="1" applyBorder="1"/>
    <xf numFmtId="10" fontId="28" fillId="0" borderId="0" xfId="6" applyNumberFormat="1" applyFont="1" applyFill="1" applyBorder="1"/>
    <xf numFmtId="166" fontId="25" fillId="2" borderId="0" xfId="0" applyNumberFormat="1" applyFont="1" applyFill="1" applyBorder="1" applyAlignment="1">
      <alignment horizontal="center"/>
    </xf>
    <xf numFmtId="0" fontId="25" fillId="2" borderId="11" xfId="0" applyFont="1" applyFill="1" applyBorder="1" applyAlignment="1">
      <alignment horizontal="right" vertical="center"/>
    </xf>
    <xf numFmtId="0" fontId="22" fillId="0" borderId="31" xfId="0" applyFont="1" applyFill="1" applyBorder="1"/>
    <xf numFmtId="0" fontId="22" fillId="0" borderId="32" xfId="0" applyFont="1" applyFill="1" applyBorder="1"/>
    <xf numFmtId="0" fontId="22" fillId="0" borderId="32" xfId="0" applyFont="1" applyFill="1" applyBorder="1" applyAlignment="1">
      <alignment horizontal="center"/>
    </xf>
    <xf numFmtId="0" fontId="25" fillId="0" borderId="27" xfId="0" applyFont="1" applyFill="1" applyBorder="1" applyAlignment="1">
      <alignment horizontal="right"/>
    </xf>
    <xf numFmtId="0" fontId="22" fillId="2" borderId="31" xfId="0" applyFont="1" applyFill="1" applyBorder="1"/>
    <xf numFmtId="0" fontId="22" fillId="2" borderId="32" xfId="0" applyFont="1" applyFill="1" applyBorder="1"/>
    <xf numFmtId="0" fontId="22" fillId="2" borderId="32" xfId="0" applyFont="1" applyFill="1" applyBorder="1" applyAlignment="1">
      <alignment horizontal="center"/>
    </xf>
    <xf numFmtId="10" fontId="25" fillId="0" borderId="0" xfId="0" applyNumberFormat="1" applyFont="1" applyFill="1" applyBorder="1"/>
    <xf numFmtId="0" fontId="25" fillId="2" borderId="27" xfId="0" applyFont="1" applyFill="1" applyBorder="1" applyAlignment="1">
      <alignment horizontal="right"/>
    </xf>
    <xf numFmtId="10" fontId="25" fillId="2" borderId="0" xfId="0" applyNumberFormat="1" applyFont="1" applyFill="1" applyBorder="1"/>
    <xf numFmtId="10" fontId="21" fillId="0" borderId="0" xfId="0" applyNumberFormat="1" applyFont="1"/>
    <xf numFmtId="5" fontId="25" fillId="2" borderId="13" xfId="2" applyNumberFormat="1" applyFont="1" applyFill="1" applyBorder="1" applyAlignment="1">
      <alignment horizontal="right"/>
    </xf>
    <xf numFmtId="10" fontId="25" fillId="0" borderId="0" xfId="3" applyNumberFormat="1" applyFont="1" applyFill="1" applyBorder="1" applyAlignment="1">
      <alignment horizontal="center"/>
    </xf>
    <xf numFmtId="0" fontId="17" fillId="0" borderId="0" xfId="0" applyFont="1" applyBorder="1"/>
    <xf numFmtId="171" fontId="25" fillId="2" borderId="0" xfId="0" applyNumberFormat="1" applyFont="1" applyFill="1" applyBorder="1" applyAlignment="1">
      <alignment horizontal="center"/>
    </xf>
    <xf numFmtId="10" fontId="11" fillId="0" borderId="0" xfId="0" applyNumberFormat="1" applyFont="1"/>
    <xf numFmtId="168" fontId="25" fillId="0" borderId="0" xfId="0" applyNumberFormat="1" applyFont="1" applyFill="1" applyBorder="1" applyAlignment="1">
      <alignment horizontal="center"/>
    </xf>
    <xf numFmtId="5" fontId="29" fillId="0" borderId="13" xfId="0" applyNumberFormat="1" applyFont="1" applyFill="1" applyBorder="1" applyAlignment="1">
      <alignment horizontal="right"/>
    </xf>
    <xf numFmtId="172" fontId="25" fillId="0" borderId="11" xfId="0" applyNumberFormat="1" applyFont="1" applyFill="1" applyBorder="1" applyAlignment="1"/>
    <xf numFmtId="9" fontId="25" fillId="0" borderId="0" xfId="0" applyNumberFormat="1" applyFont="1" applyFill="1" applyBorder="1" applyAlignment="1"/>
    <xf numFmtId="167" fontId="25" fillId="0" borderId="0" xfId="0" applyNumberFormat="1" applyFont="1" applyFill="1" applyBorder="1" applyAlignment="1"/>
    <xf numFmtId="2" fontId="25" fillId="0" borderId="0" xfId="8" applyNumberFormat="1" applyFont="1" applyFill="1" applyBorder="1" applyAlignment="1">
      <alignment horizontal="center"/>
    </xf>
    <xf numFmtId="44" fontId="25" fillId="0" borderId="13" xfId="8" applyFont="1" applyFill="1" applyBorder="1" applyAlignment="1">
      <alignment horizontal="right"/>
    </xf>
    <xf numFmtId="3" fontId="25" fillId="0" borderId="0" xfId="1" applyNumberFormat="1" applyFont="1" applyFill="1" applyBorder="1" applyAlignment="1">
      <alignment horizontal="center"/>
    </xf>
    <xf numFmtId="0" fontId="29" fillId="0" borderId="13" xfId="0" applyFont="1" applyFill="1" applyBorder="1" applyAlignment="1">
      <alignment horizontal="right"/>
    </xf>
    <xf numFmtId="168" fontId="25" fillId="2" borderId="0" xfId="0" applyNumberFormat="1" applyFont="1" applyFill="1" applyBorder="1" applyAlignment="1">
      <alignment horizontal="center"/>
    </xf>
    <xf numFmtId="5" fontId="29" fillId="2" borderId="13" xfId="0" applyNumberFormat="1" applyFont="1" applyFill="1" applyBorder="1" applyAlignment="1">
      <alignment horizontal="right"/>
    </xf>
    <xf numFmtId="173" fontId="25" fillId="0" borderId="6" xfId="0" applyNumberFormat="1" applyFont="1" applyFill="1" applyBorder="1"/>
    <xf numFmtId="9" fontId="25" fillId="0" borderId="7" xfId="0" applyNumberFormat="1" applyFont="1" applyFill="1" applyBorder="1"/>
    <xf numFmtId="0" fontId="22" fillId="0" borderId="7" xfId="0" applyFont="1" applyFill="1" applyBorder="1" applyAlignment="1">
      <alignment horizontal="right"/>
    </xf>
    <xf numFmtId="44" fontId="25" fillId="0" borderId="7" xfId="8" applyFont="1" applyFill="1" applyBorder="1" applyAlignment="1">
      <alignment horizontal="center"/>
    </xf>
    <xf numFmtId="7" fontId="22" fillId="4" borderId="33" xfId="0" applyNumberFormat="1" applyFont="1" applyFill="1" applyBorder="1" applyAlignment="1">
      <alignment horizontal="right"/>
    </xf>
    <xf numFmtId="10" fontId="23" fillId="0" borderId="0" xfId="3" applyNumberFormat="1" applyFont="1"/>
    <xf numFmtId="172" fontId="25" fillId="2" borderId="11" xfId="0" applyNumberFormat="1" applyFont="1" applyFill="1" applyBorder="1" applyAlignment="1"/>
    <xf numFmtId="9" fontId="25" fillId="2" borderId="0" xfId="0" applyNumberFormat="1" applyFont="1" applyFill="1" applyBorder="1" applyAlignment="1"/>
    <xf numFmtId="167" fontId="25" fillId="2" borderId="0" xfId="0" applyNumberFormat="1" applyFont="1" applyFill="1" applyBorder="1" applyAlignment="1"/>
    <xf numFmtId="2" fontId="25" fillId="2" borderId="0" xfId="8" applyNumberFormat="1" applyFont="1" applyFill="1" applyBorder="1" applyAlignment="1">
      <alignment horizontal="center"/>
    </xf>
    <xf numFmtId="44" fontId="25" fillId="2" borderId="13" xfId="8" applyFont="1" applyFill="1" applyBorder="1" applyAlignment="1">
      <alignment horizontal="right"/>
    </xf>
    <xf numFmtId="9" fontId="21" fillId="0" borderId="0" xfId="0" applyNumberFormat="1" applyFont="1" applyBorder="1" applyAlignment="1"/>
    <xf numFmtId="167" fontId="21" fillId="0" borderId="0" xfId="0" applyNumberFormat="1" applyFont="1" applyBorder="1" applyAlignment="1"/>
    <xf numFmtId="2" fontId="27" fillId="0" borderId="0" xfId="0" applyNumberFormat="1" applyFont="1" applyFill="1" applyBorder="1"/>
    <xf numFmtId="0" fontId="27" fillId="0" borderId="0" xfId="0" applyFont="1" applyFill="1" applyBorder="1"/>
    <xf numFmtId="6" fontId="27" fillId="0" borderId="0" xfId="0" applyNumberFormat="1" applyFont="1" applyFill="1" applyBorder="1" applyAlignment="1">
      <alignment horizontal="right"/>
    </xf>
    <xf numFmtId="7" fontId="27" fillId="4" borderId="0" xfId="0" applyNumberFormat="1" applyFont="1" applyFill="1" applyBorder="1" applyAlignment="1">
      <alignment horizontal="right"/>
    </xf>
    <xf numFmtId="0" fontId="11" fillId="0" borderId="0" xfId="0" applyFont="1"/>
    <xf numFmtId="3" fontId="25" fillId="2" borderId="0" xfId="1" applyNumberFormat="1" applyFont="1" applyFill="1" applyBorder="1" applyAlignment="1">
      <alignment horizontal="center"/>
    </xf>
    <xf numFmtId="0" fontId="29" fillId="2" borderId="13" xfId="0" applyFont="1" applyFill="1" applyBorder="1" applyAlignment="1">
      <alignment horizontal="right"/>
    </xf>
    <xf numFmtId="6" fontId="27" fillId="0" borderId="0" xfId="0" applyNumberFormat="1" applyFont="1" applyFill="1" applyBorder="1" applyAlignment="1">
      <alignment horizontal="center"/>
    </xf>
    <xf numFmtId="173" fontId="25" fillId="2" borderId="6" xfId="0" applyNumberFormat="1" applyFont="1" applyFill="1" applyBorder="1"/>
    <xf numFmtId="9" fontId="25" fillId="2" borderId="7" xfId="0" applyNumberFormat="1" applyFont="1" applyFill="1" applyBorder="1"/>
    <xf numFmtId="0" fontId="22" fillId="2" borderId="7" xfId="0" applyFont="1" applyFill="1" applyBorder="1" applyAlignment="1">
      <alignment horizontal="right"/>
    </xf>
    <xf numFmtId="44" fontId="25" fillId="2" borderId="7" xfId="8" applyFont="1" applyFill="1" applyBorder="1" applyAlignment="1">
      <alignment horizontal="center"/>
    </xf>
    <xf numFmtId="7" fontId="22" fillId="2" borderId="33" xfId="0" applyNumberFormat="1" applyFont="1" applyFill="1" applyBorder="1" applyAlignment="1">
      <alignment horizontal="right"/>
    </xf>
    <xf numFmtId="9" fontId="21" fillId="0" borderId="0" xfId="0" applyNumberFormat="1" applyFont="1" applyBorder="1"/>
    <xf numFmtId="0" fontId="18" fillId="0" borderId="0" xfId="0" applyFont="1" applyBorder="1" applyAlignment="1">
      <alignment horizontal="right"/>
    </xf>
    <xf numFmtId="10" fontId="31" fillId="0" borderId="0" xfId="3" applyNumberFormat="1" applyFont="1" applyBorder="1"/>
    <xf numFmtId="7" fontId="23" fillId="0" borderId="0" xfId="0" applyNumberFormat="1" applyFont="1"/>
    <xf numFmtId="0" fontId="27" fillId="2" borderId="0" xfId="0" applyFont="1" applyFill="1"/>
    <xf numFmtId="0" fontId="27" fillId="2" borderId="0" xfId="0" applyFont="1" applyFill="1" applyBorder="1"/>
    <xf numFmtId="0" fontId="27" fillId="2" borderId="0" xfId="0" applyFont="1" applyFill="1" applyBorder="1" applyAlignment="1">
      <alignment horizontal="center"/>
    </xf>
    <xf numFmtId="10" fontId="25" fillId="2" borderId="0" xfId="0" applyNumberFormat="1" applyFont="1" applyFill="1" applyBorder="1" applyAlignment="1">
      <alignment horizontal="right"/>
    </xf>
    <xf numFmtId="8" fontId="23" fillId="0" borderId="0" xfId="0" applyNumberFormat="1" applyFont="1" applyBorder="1"/>
    <xf numFmtId="2" fontId="27" fillId="2" borderId="0" xfId="0" applyNumberFormat="1" applyFont="1" applyFill="1"/>
    <xf numFmtId="7" fontId="27" fillId="2" borderId="0" xfId="0" applyNumberFormat="1" applyFont="1" applyFill="1" applyBorder="1" applyAlignment="1">
      <alignment horizontal="right"/>
    </xf>
    <xf numFmtId="6" fontId="27" fillId="2" borderId="0" xfId="0" applyNumberFormat="1" applyFont="1" applyFill="1" applyBorder="1" applyAlignment="1">
      <alignment horizontal="center"/>
    </xf>
    <xf numFmtId="6" fontId="27" fillId="2" borderId="0" xfId="0" applyNumberFormat="1" applyFont="1" applyFill="1" applyBorder="1" applyAlignment="1">
      <alignment horizontal="right"/>
    </xf>
    <xf numFmtId="44" fontId="23" fillId="0" borderId="0" xfId="2" applyFont="1" applyBorder="1"/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44" fontId="23" fillId="0" borderId="0" xfId="0" applyNumberFormat="1" applyFont="1" applyBorder="1"/>
    <xf numFmtId="0" fontId="5" fillId="5" borderId="1" xfId="0" applyFont="1" applyFill="1" applyBorder="1" applyAlignment="1">
      <alignment horizontal="left"/>
    </xf>
    <xf numFmtId="0" fontId="27" fillId="5" borderId="3" xfId="0" applyFont="1" applyFill="1" applyBorder="1" applyAlignment="1">
      <alignment horizontal="center"/>
    </xf>
    <xf numFmtId="0" fontId="27" fillId="5" borderId="4" xfId="0" applyFont="1" applyFill="1" applyBorder="1" applyAlignment="1">
      <alignment horizontal="right"/>
    </xf>
    <xf numFmtId="0" fontId="27" fillId="5" borderId="4" xfId="0" applyFont="1" applyFill="1" applyBorder="1" applyAlignment="1">
      <alignment horizontal="left"/>
    </xf>
    <xf numFmtId="0" fontId="32" fillId="0" borderId="11" xfId="0" applyFont="1" applyBorder="1" applyAlignment="1">
      <alignment horizontal="center"/>
    </xf>
    <xf numFmtId="8" fontId="27" fillId="0" borderId="0" xfId="0" applyNumberFormat="1" applyFont="1" applyBorder="1" applyAlignment="1">
      <alignment horizontal="center"/>
    </xf>
    <xf numFmtId="0" fontId="32" fillId="0" borderId="13" xfId="0" applyFont="1" applyBorder="1" applyAlignment="1">
      <alignment horizontal="right"/>
    </xf>
    <xf numFmtId="0" fontId="27" fillId="0" borderId="13" xfId="0" applyFont="1" applyBorder="1"/>
    <xf numFmtId="0" fontId="23" fillId="0" borderId="0" xfId="0" applyFont="1" applyBorder="1" applyAlignment="1">
      <alignment horizontal="left"/>
    </xf>
    <xf numFmtId="0" fontId="23" fillId="0" borderId="13" xfId="0" applyFont="1" applyBorder="1"/>
    <xf numFmtId="6" fontId="27" fillId="0" borderId="11" xfId="0" applyNumberFormat="1" applyFont="1" applyBorder="1"/>
    <xf numFmtId="0" fontId="27" fillId="0" borderId="0" xfId="0" applyFont="1" applyBorder="1" applyAlignment="1">
      <alignment horizontal="center"/>
    </xf>
    <xf numFmtId="6" fontId="27" fillId="0" borderId="13" xfId="0" applyNumberFormat="1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6" fontId="27" fillId="0" borderId="0" xfId="0" applyNumberFormat="1" applyFont="1" applyBorder="1" applyAlignment="1">
      <alignment horizontal="center"/>
    </xf>
    <xf numFmtId="0" fontId="27" fillId="0" borderId="13" xfId="0" applyFont="1" applyBorder="1" applyAlignment="1">
      <alignment horizontal="right"/>
    </xf>
    <xf numFmtId="0" fontId="11" fillId="0" borderId="13" xfId="0" applyFont="1" applyBorder="1"/>
    <xf numFmtId="6" fontId="5" fillId="0" borderId="6" xfId="0" applyNumberFormat="1" applyFont="1" applyBorder="1"/>
    <xf numFmtId="0" fontId="27" fillId="0" borderId="7" xfId="0" applyFont="1" applyBorder="1" applyAlignment="1">
      <alignment horizontal="center"/>
    </xf>
    <xf numFmtId="6" fontId="5" fillId="0" borderId="9" xfId="0" applyNumberFormat="1" applyFont="1" applyBorder="1" applyAlignment="1">
      <alignment horizontal="right"/>
    </xf>
    <xf numFmtId="0" fontId="27" fillId="0" borderId="9" xfId="0" applyFont="1" applyBorder="1"/>
    <xf numFmtId="0" fontId="27" fillId="0" borderId="21" xfId="0" applyFont="1" applyBorder="1"/>
    <xf numFmtId="0" fontId="27" fillId="0" borderId="0" xfId="0" applyFont="1" applyBorder="1" applyAlignment="1">
      <alignment horizontal="right"/>
    </xf>
    <xf numFmtId="0" fontId="27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6" fontId="5" fillId="0" borderId="11" xfId="0" applyNumberFormat="1" applyFont="1" applyBorder="1"/>
    <xf numFmtId="6" fontId="5" fillId="0" borderId="0" xfId="0" applyNumberFormat="1" applyFont="1" applyBorder="1" applyAlignment="1">
      <alignment horizontal="right"/>
    </xf>
    <xf numFmtId="10" fontId="23" fillId="0" borderId="0" xfId="3" applyNumberFormat="1" applyFont="1" applyBorder="1"/>
    <xf numFmtId="165" fontId="17" fillId="0" borderId="0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4" fillId="0" borderId="0" xfId="0" applyFont="1"/>
    <xf numFmtId="0" fontId="37" fillId="0" borderId="0" xfId="0" applyFont="1"/>
    <xf numFmtId="10" fontId="37" fillId="0" borderId="0" xfId="3" applyNumberFormat="1" applyFont="1"/>
  </cellXfs>
  <cellStyles count="16">
    <cellStyle name="Comma" xfId="1" builtinId="3"/>
    <cellStyle name="Currency" xfId="2" builtinId="4"/>
    <cellStyle name="Currency 3" xfId="7"/>
    <cellStyle name="Currency 4" xfId="8"/>
    <cellStyle name="Currency 4 2" xfId="9"/>
    <cellStyle name="Normal" xfId="0" builtinId="0"/>
    <cellStyle name="Normal 2" xfId="10"/>
    <cellStyle name="Normal 3" xfId="11"/>
    <cellStyle name="Normal 4" xfId="12"/>
    <cellStyle name="Normal 5" xfId="4"/>
    <cellStyle name="Normal 6" xfId="13"/>
    <cellStyle name="Normal 6 2" xfId="14"/>
    <cellStyle name="Normal 7" xfId="15"/>
    <cellStyle name="Percent" xfId="3" builtinId="5"/>
    <cellStyle name="Percent 2" xfId="5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116</xdr:col>
      <xdr:colOff>358140</xdr:colOff>
      <xdr:row>2</xdr:row>
      <xdr:rowOff>15240</xdr:rowOff>
    </xdr:from>
    <xdr:to>
      <xdr:col>128</xdr:col>
      <xdr:colOff>510540</xdr:colOff>
      <xdr:row>42</xdr:row>
      <xdr:rowOff>53340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4560" y="624840"/>
          <a:ext cx="7467600" cy="11452860"/>
        </a:xfrm>
        <a:prstGeom prst="rect">
          <a:avLst/>
        </a:prstGeom>
        <a:solidFill>
          <a:srgbClr val="BFBFB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e%20Services-POS%20Policy%20Office/Admin%20&amp;%20Staff/Kara/Workforce%20Initiatives/6.%20BLS%20Analysis%20May2020%20for%20Jan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Early%20Intervention-%20CMR%20349\2022%20Rate%20Review\4.%20Post%20PH\EI%20Model%20FY23%20post%20PH%20WI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_M2020_dl"/>
      <sheetName val="Field Descriptions"/>
      <sheetName val="UpdateTime"/>
      <sheetName val="Filler"/>
      <sheetName val="Sheet1"/>
      <sheetName val="Management (2)"/>
      <sheetName val="Chart"/>
      <sheetName val="Chart (2)"/>
      <sheetName val="DC  CNA  DC III"/>
      <sheetName val="Case Social Worker.Manager"/>
      <sheetName val="Clinical"/>
      <sheetName val="Nursing"/>
      <sheetName val="Management"/>
      <sheetName val="Therap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G7">
            <v>16.791999999999998</v>
          </cell>
        </row>
        <row r="11">
          <cell r="G11">
            <v>17.260000000000002</v>
          </cell>
        </row>
        <row r="20">
          <cell r="G20">
            <v>21.736000000000001</v>
          </cell>
        </row>
      </sheetData>
      <sheetData sheetId="9">
        <row r="4">
          <cell r="G4">
            <v>21.814999999999998</v>
          </cell>
        </row>
        <row r="10">
          <cell r="G10">
            <v>26.16</v>
          </cell>
        </row>
      </sheetData>
      <sheetData sheetId="10">
        <row r="5">
          <cell r="G5">
            <v>30.59</v>
          </cell>
        </row>
        <row r="9">
          <cell r="G9">
            <v>40.57</v>
          </cell>
        </row>
      </sheetData>
      <sheetData sheetId="11">
        <row r="2">
          <cell r="G2">
            <v>28.8</v>
          </cell>
        </row>
        <row r="6">
          <cell r="G6">
            <v>43.41</v>
          </cell>
        </row>
        <row r="11">
          <cell r="G11">
            <v>59.6</v>
          </cell>
        </row>
      </sheetData>
      <sheetData sheetId="12">
        <row r="2">
          <cell r="G2">
            <v>33.46153846153846</v>
          </cell>
          <cell r="H2">
            <v>69600</v>
          </cell>
        </row>
      </sheetData>
      <sheetData sheetId="13">
        <row r="2">
          <cell r="E2">
            <v>31.99</v>
          </cell>
        </row>
        <row r="8">
          <cell r="E8">
            <v>34.022499999999994</v>
          </cell>
        </row>
        <row r="14">
          <cell r="E14">
            <v>36.380000000000003</v>
          </cell>
        </row>
        <row r="18">
          <cell r="E18">
            <v>37.751999999999995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Fall 2016 CAF"/>
      <sheetName val="Reg Rate Chart"/>
      <sheetName val="2016 Model"/>
      <sheetName val="Reg Rate Chart "/>
      <sheetName val="Sp17 CAF"/>
      <sheetName val="2018 Model "/>
      <sheetName val="Summary of positions"/>
      <sheetName val="Clean Data"/>
      <sheetName val="Copy of Source Data"/>
      <sheetName val="Model positions FTEs"/>
      <sheetName val="PT, OT, SP FTE variation"/>
      <sheetName val="CAF"/>
      <sheetName val="EI Consortium Model"/>
      <sheetName val="Surplus Deficit analysis FY14"/>
      <sheetName val="EI adjusted rates with 3.19%"/>
      <sheetName val="Fiscal impact related"/>
      <sheetName val="Sheet1"/>
      <sheetName val="Sheet3"/>
      <sheetName val="M2020 CHART"/>
      <sheetName val="BLS Therapies M2020"/>
      <sheetName val="2022Model "/>
      <sheetName val="2020 Model  (UFR) "/>
      <sheetName val="Rate List"/>
      <sheetName val="FY20 UFR BTL 3317"/>
      <sheetName val="CAF Spring 2021"/>
      <sheetName val="2022Model PH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7">
          <cell r="BK27">
            <v>3.222120658135276E-2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0">
          <cell r="M10">
            <v>1</v>
          </cell>
        </row>
        <row r="11">
          <cell r="M11">
            <v>1.1599999999999999</v>
          </cell>
        </row>
        <row r="24">
          <cell r="M24">
            <v>1.0444444444444445</v>
          </cell>
        </row>
        <row r="26">
          <cell r="M26">
            <v>0.35555555555555557</v>
          </cell>
        </row>
        <row r="28">
          <cell r="M28">
            <v>0.1111111111111111</v>
          </cell>
        </row>
        <row r="32">
          <cell r="M32">
            <v>1.35</v>
          </cell>
        </row>
        <row r="33">
          <cell r="M33">
            <v>1.35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>
        <row r="5">
          <cell r="E5">
            <v>3230.1661201220372</v>
          </cell>
          <cell r="G5">
            <v>3099.0768453167207</v>
          </cell>
          <cell r="M5">
            <v>13021.762314004987</v>
          </cell>
          <cell r="O5">
            <v>61.455111239794377</v>
          </cell>
          <cell r="Q5">
            <v>1286.6631750926779</v>
          </cell>
          <cell r="S5">
            <v>48.144380966458215</v>
          </cell>
          <cell r="U5">
            <v>7.5037260090640876</v>
          </cell>
          <cell r="W5">
            <v>45.474368626558501</v>
          </cell>
          <cell r="Y5">
            <v>0.28797696184305255</v>
          </cell>
          <cell r="AK5">
            <v>255.80929062703919</v>
          </cell>
        </row>
      </sheetData>
      <sheetData sheetId="25">
        <row r="39">
          <cell r="CB39">
            <v>1.407170954548847E-2</v>
          </cell>
        </row>
      </sheetData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zoomScale="80" zoomScaleNormal="80" workbookViewId="0">
      <selection activeCell="O21" sqref="O21"/>
    </sheetView>
  </sheetViews>
  <sheetFormatPr defaultRowHeight="14.4" x14ac:dyDescent="0.3"/>
  <cols>
    <col min="1" max="1" width="5.5546875" style="4" customWidth="1"/>
    <col min="2" max="2" width="58" style="4" customWidth="1"/>
    <col min="3" max="3" width="24.21875" style="4" customWidth="1"/>
    <col min="4" max="5" width="14.77734375" style="4" hidden="1" customWidth="1"/>
    <col min="6" max="6" width="61.44140625" style="4" customWidth="1"/>
    <col min="7" max="7" width="62.109375" style="5" customWidth="1"/>
    <col min="8" max="8" width="14.77734375" style="4" hidden="1" customWidth="1"/>
    <col min="9" max="9" width="0" style="4" hidden="1" customWidth="1"/>
    <col min="10" max="10" width="11" style="4" hidden="1" customWidth="1"/>
    <col min="11" max="11" width="0" style="4" hidden="1" customWidth="1"/>
    <col min="12" max="16384" width="8.88671875" style="4"/>
  </cols>
  <sheetData>
    <row r="1" spans="2:10" ht="21" x14ac:dyDescent="0.4">
      <c r="B1" s="1" t="s">
        <v>0</v>
      </c>
      <c r="C1" s="2" t="s">
        <v>1</v>
      </c>
      <c r="D1" s="2" t="s">
        <v>1</v>
      </c>
      <c r="E1" s="3"/>
    </row>
    <row r="2" spans="2:10" ht="21" x14ac:dyDescent="0.4">
      <c r="C2" s="6">
        <v>2020</v>
      </c>
      <c r="D2" s="7" t="s">
        <v>2</v>
      </c>
      <c r="E2" s="8"/>
    </row>
    <row r="3" spans="2:10" ht="21" x14ac:dyDescent="0.4">
      <c r="B3" s="9"/>
      <c r="C3" s="7" t="s">
        <v>3</v>
      </c>
      <c r="D3" s="7" t="s">
        <v>3</v>
      </c>
      <c r="E3" s="7"/>
      <c r="F3" s="10"/>
      <c r="G3" s="11"/>
    </row>
    <row r="4" spans="2:10" ht="19.2" customHeight="1" thickBot="1" x14ac:dyDescent="0.45">
      <c r="B4" s="12" t="s">
        <v>4</v>
      </c>
      <c r="C4" s="13" t="s">
        <v>5</v>
      </c>
      <c r="D4" s="14" t="s">
        <v>6</v>
      </c>
      <c r="E4" s="14" t="s">
        <v>7</v>
      </c>
      <c r="F4" s="12" t="s">
        <v>8</v>
      </c>
      <c r="G4" s="15" t="s">
        <v>9</v>
      </c>
      <c r="H4" s="8" t="s">
        <v>10</v>
      </c>
      <c r="J4" s="4" t="s">
        <v>11</v>
      </c>
    </row>
    <row r="5" spans="2:10" ht="31.2" customHeight="1" x14ac:dyDescent="0.4">
      <c r="B5" s="16" t="s">
        <v>12</v>
      </c>
      <c r="C5" s="17">
        <f>'[1]DC  CNA  DC III'!G7</f>
        <v>16.791999999999998</v>
      </c>
      <c r="D5" s="17">
        <v>15.48</v>
      </c>
      <c r="E5" s="18"/>
      <c r="F5" s="19" t="s">
        <v>13</v>
      </c>
      <c r="G5" s="20" t="s">
        <v>14</v>
      </c>
      <c r="H5" s="21">
        <f>H6/2080</f>
        <v>15.480288461538462</v>
      </c>
      <c r="J5" s="22">
        <f>C5-H5</f>
        <v>1.3117115384615357</v>
      </c>
    </row>
    <row r="6" spans="2:10" ht="31.2" customHeight="1" thickBot="1" x14ac:dyDescent="0.45">
      <c r="B6" s="23" t="s">
        <v>15</v>
      </c>
      <c r="C6" s="24">
        <f>C5*2080</f>
        <v>34927.359999999993</v>
      </c>
      <c r="D6" s="25">
        <f>D5*2080</f>
        <v>32198.400000000001</v>
      </c>
      <c r="E6" s="26">
        <f>(C6-D6)/D6</f>
        <v>8.4754521963824034E-2</v>
      </c>
      <c r="F6" s="27"/>
      <c r="G6" s="28"/>
      <c r="H6" s="29">
        <v>32199</v>
      </c>
      <c r="J6" s="22"/>
    </row>
    <row r="7" spans="2:10" ht="21" x14ac:dyDescent="0.4">
      <c r="B7" s="16" t="s">
        <v>16</v>
      </c>
      <c r="C7" s="30">
        <f>'[1]DC  CNA  DC III'!G20</f>
        <v>21.736000000000001</v>
      </c>
      <c r="D7" s="17">
        <v>19.96</v>
      </c>
      <c r="E7" s="18"/>
      <c r="F7" s="31" t="s">
        <v>17</v>
      </c>
      <c r="G7" s="20" t="s">
        <v>18</v>
      </c>
      <c r="H7" s="21">
        <f>H8/2080</f>
        <v>18.400480769230768</v>
      </c>
      <c r="J7" s="22">
        <f>C7-H7</f>
        <v>3.3355192307692327</v>
      </c>
    </row>
    <row r="8" spans="2:10" ht="21.6" thickBot="1" x14ac:dyDescent="0.45">
      <c r="B8" s="32" t="s">
        <v>19</v>
      </c>
      <c r="C8" s="33">
        <f>C7*2080</f>
        <v>45210.880000000005</v>
      </c>
      <c r="D8" s="34">
        <f>D7*2080</f>
        <v>41516.800000000003</v>
      </c>
      <c r="E8" s="35">
        <f>(C8-D8)/D8</f>
        <v>8.8977955911823683E-2</v>
      </c>
      <c r="F8" s="36" t="s">
        <v>20</v>
      </c>
      <c r="G8" s="37"/>
      <c r="H8" s="29">
        <v>38273</v>
      </c>
      <c r="J8" s="22"/>
    </row>
    <row r="9" spans="2:10" ht="21" x14ac:dyDescent="0.4">
      <c r="B9" s="16" t="s">
        <v>21</v>
      </c>
      <c r="C9" s="30">
        <f>'[1]DC  CNA  DC III'!G11</f>
        <v>17.260000000000002</v>
      </c>
      <c r="D9" s="17">
        <v>15.53</v>
      </c>
      <c r="E9" s="18"/>
      <c r="F9" s="38"/>
      <c r="G9" s="20" t="s">
        <v>22</v>
      </c>
      <c r="H9" s="21">
        <f>H10/2080</f>
        <v>20.43028846153846</v>
      </c>
      <c r="J9" s="39">
        <f>C9-H9</f>
        <v>-3.1702884615384583</v>
      </c>
    </row>
    <row r="10" spans="2:10" ht="21.6" thickBot="1" x14ac:dyDescent="0.45">
      <c r="B10" s="23" t="s">
        <v>23</v>
      </c>
      <c r="C10" s="24">
        <f>C9*2080</f>
        <v>35900.800000000003</v>
      </c>
      <c r="D10" s="25">
        <f>D9*2080</f>
        <v>32302.399999999998</v>
      </c>
      <c r="E10" s="26">
        <f>(C10-D10)/D10</f>
        <v>0.11139729555698664</v>
      </c>
      <c r="F10" s="40"/>
      <c r="G10" s="28"/>
      <c r="H10" s="29">
        <v>42495</v>
      </c>
      <c r="J10" s="22"/>
    </row>
    <row r="11" spans="2:10" ht="21" x14ac:dyDescent="0.4">
      <c r="B11" s="16" t="s">
        <v>24</v>
      </c>
      <c r="C11" s="30">
        <f>'[1]Case Social Worker.Manager'!G4</f>
        <v>21.814999999999998</v>
      </c>
      <c r="D11" s="17">
        <v>21.14</v>
      </c>
      <c r="E11" s="18"/>
      <c r="F11" s="31" t="s">
        <v>25</v>
      </c>
      <c r="G11" s="20" t="s">
        <v>26</v>
      </c>
      <c r="H11" s="41" t="s">
        <v>27</v>
      </c>
      <c r="J11" s="22"/>
    </row>
    <row r="12" spans="2:10" ht="21.6" thickBot="1" x14ac:dyDescent="0.45">
      <c r="B12" s="32" t="s">
        <v>28</v>
      </c>
      <c r="C12" s="33">
        <f>C11*2080</f>
        <v>45375.199999999997</v>
      </c>
      <c r="D12" s="34">
        <f>D11*2080</f>
        <v>43971.200000000004</v>
      </c>
      <c r="E12" s="35">
        <f>(C12-D12)/D12</f>
        <v>3.192999053926189E-2</v>
      </c>
      <c r="F12" s="36" t="s">
        <v>29</v>
      </c>
      <c r="G12" s="37"/>
      <c r="H12" s="42"/>
      <c r="J12" s="22"/>
    </row>
    <row r="13" spans="2:10" ht="42" x14ac:dyDescent="0.4">
      <c r="B13" s="43" t="s">
        <v>30</v>
      </c>
      <c r="C13" s="30">
        <f>'[1]Case Social Worker.Manager'!G10</f>
        <v>26.16</v>
      </c>
      <c r="D13" s="17">
        <v>25.32</v>
      </c>
      <c r="E13" s="18"/>
      <c r="F13" s="31" t="s">
        <v>31</v>
      </c>
      <c r="G13" s="20" t="s">
        <v>32</v>
      </c>
      <c r="H13" s="21">
        <f>H14/2080</f>
        <v>19.703365384615385</v>
      </c>
      <c r="J13" s="22">
        <f>C13-H13</f>
        <v>6.4566346153846155</v>
      </c>
    </row>
    <row r="14" spans="2:10" ht="42.6" thickBot="1" x14ac:dyDescent="0.45">
      <c r="B14" s="44" t="s">
        <v>33</v>
      </c>
      <c r="C14" s="24">
        <f>C13*2080</f>
        <v>54412.800000000003</v>
      </c>
      <c r="D14" s="25">
        <f>D13*2080</f>
        <v>52665.599999999999</v>
      </c>
      <c r="E14" s="26">
        <f>(C14-D14)/D14</f>
        <v>3.3175355450237053E-2</v>
      </c>
      <c r="F14" s="40" t="s">
        <v>34</v>
      </c>
      <c r="G14" s="28"/>
      <c r="H14" s="29">
        <v>40983</v>
      </c>
      <c r="J14" s="22"/>
    </row>
    <row r="15" spans="2:10" ht="21" x14ac:dyDescent="0.4">
      <c r="B15" s="16" t="s">
        <v>35</v>
      </c>
      <c r="C15" s="30">
        <f>[1]Nursing!G2</f>
        <v>28.8</v>
      </c>
      <c r="D15" s="17">
        <v>27.62</v>
      </c>
      <c r="E15" s="18"/>
      <c r="F15" s="31"/>
      <c r="G15" s="20" t="s">
        <v>36</v>
      </c>
      <c r="H15" s="45"/>
      <c r="J15" s="22"/>
    </row>
    <row r="16" spans="2:10" ht="21.6" thickBot="1" x14ac:dyDescent="0.45">
      <c r="B16" s="23" t="s">
        <v>37</v>
      </c>
      <c r="C16" s="24">
        <f>C15*2080</f>
        <v>59904</v>
      </c>
      <c r="D16" s="25">
        <f>D15*2080</f>
        <v>57449.599999999999</v>
      </c>
      <c r="E16" s="26">
        <f>(C16-D16)/D16</f>
        <v>4.2722664735698794E-2</v>
      </c>
      <c r="F16" s="40"/>
      <c r="G16" s="28"/>
      <c r="H16" s="45"/>
      <c r="J16" s="22"/>
    </row>
    <row r="17" spans="2:10" ht="21" x14ac:dyDescent="0.4">
      <c r="B17" s="16" t="s">
        <v>38</v>
      </c>
      <c r="C17" s="30">
        <f>[1]Clinical!G5</f>
        <v>30.59</v>
      </c>
      <c r="D17" s="17">
        <v>29.29</v>
      </c>
      <c r="E17" s="18"/>
      <c r="F17" s="31" t="s">
        <v>39</v>
      </c>
      <c r="G17" s="20" t="s">
        <v>40</v>
      </c>
      <c r="H17" s="21">
        <f>H18/2080</f>
        <v>27.190865384615385</v>
      </c>
      <c r="J17" s="22">
        <f>C17-H17</f>
        <v>3.3991346153846145</v>
      </c>
    </row>
    <row r="18" spans="2:10" ht="21.6" thickBot="1" x14ac:dyDescent="0.45">
      <c r="B18" s="23" t="s">
        <v>41</v>
      </c>
      <c r="C18" s="24">
        <f>C17*2080</f>
        <v>63627.199999999997</v>
      </c>
      <c r="D18" s="25">
        <f>D17*2080</f>
        <v>60923.199999999997</v>
      </c>
      <c r="E18" s="26">
        <f>(C18-D18)/D18</f>
        <v>4.4383748719699558E-2</v>
      </c>
      <c r="F18" s="40"/>
      <c r="G18" s="28"/>
      <c r="H18" s="29">
        <v>56557</v>
      </c>
      <c r="J18" s="22"/>
    </row>
    <row r="19" spans="2:10" ht="21" x14ac:dyDescent="0.4">
      <c r="B19" s="16" t="s">
        <v>42</v>
      </c>
      <c r="C19" s="46">
        <f>[1]Therapies!E2</f>
        <v>31.99</v>
      </c>
      <c r="D19" s="47"/>
      <c r="E19" s="48"/>
      <c r="F19" s="31"/>
      <c r="G19" s="20" t="s">
        <v>43</v>
      </c>
      <c r="H19" s="45"/>
      <c r="J19" s="22"/>
    </row>
    <row r="20" spans="2:10" ht="21.6" thickBot="1" x14ac:dyDescent="0.45">
      <c r="B20" s="23" t="s">
        <v>44</v>
      </c>
      <c r="C20" s="24">
        <f>C19*2080</f>
        <v>66539.199999999997</v>
      </c>
      <c r="D20" s="25"/>
      <c r="E20" s="49"/>
      <c r="F20" s="40"/>
      <c r="G20" s="28"/>
      <c r="H20" s="45"/>
      <c r="J20" s="22"/>
    </row>
    <row r="21" spans="2:10" s="56" customFormat="1" ht="21" x14ac:dyDescent="0.4">
      <c r="B21" s="50" t="s">
        <v>45</v>
      </c>
      <c r="C21" s="51">
        <f>[1]Management!G2</f>
        <v>33.46153846153846</v>
      </c>
      <c r="D21" s="33" t="s">
        <v>27</v>
      </c>
      <c r="E21" s="52"/>
      <c r="F21" s="53" t="s">
        <v>46</v>
      </c>
      <c r="G21" s="54" t="s">
        <v>47</v>
      </c>
      <c r="H21" s="55"/>
      <c r="J21" s="57"/>
    </row>
    <row r="22" spans="2:10" s="56" customFormat="1" ht="21.6" thickBot="1" x14ac:dyDescent="0.45">
      <c r="B22" s="58" t="s">
        <v>48</v>
      </c>
      <c r="C22" s="24">
        <f>[1]Management!H2</f>
        <v>69600</v>
      </c>
      <c r="D22" s="24" t="s">
        <v>27</v>
      </c>
      <c r="E22" s="59"/>
      <c r="F22" s="60" t="s">
        <v>49</v>
      </c>
      <c r="G22" s="61"/>
      <c r="H22" s="55"/>
      <c r="J22" s="57"/>
    </row>
    <row r="23" spans="2:10" ht="21" x14ac:dyDescent="0.4">
      <c r="B23" s="32" t="s">
        <v>50</v>
      </c>
      <c r="C23" s="51">
        <f>[1]Therapies!E8</f>
        <v>34.022499999999994</v>
      </c>
      <c r="D23" s="34"/>
      <c r="E23" s="62"/>
      <c r="F23" s="36" t="s">
        <v>51</v>
      </c>
      <c r="G23" s="20" t="s">
        <v>32</v>
      </c>
      <c r="H23" s="45"/>
      <c r="J23" s="22"/>
    </row>
    <row r="24" spans="2:10" ht="21.6" thickBot="1" x14ac:dyDescent="0.45">
      <c r="B24" s="23" t="s">
        <v>52</v>
      </c>
      <c r="C24" s="24">
        <f>C23*2080</f>
        <v>70766.799999999988</v>
      </c>
      <c r="D24" s="25"/>
      <c r="E24" s="49"/>
      <c r="F24" s="40"/>
      <c r="G24" s="28"/>
      <c r="H24" s="45"/>
      <c r="J24" s="22"/>
    </row>
    <row r="25" spans="2:10" ht="21" x14ac:dyDescent="0.4">
      <c r="B25" s="32" t="s">
        <v>53</v>
      </c>
      <c r="C25" s="51">
        <f>[1]Therapies!E14</f>
        <v>36.380000000000003</v>
      </c>
      <c r="D25" s="34"/>
      <c r="E25" s="62"/>
      <c r="F25" s="53" t="s">
        <v>54</v>
      </c>
      <c r="G25" s="20" t="s">
        <v>32</v>
      </c>
      <c r="H25" s="45"/>
      <c r="J25" s="22"/>
    </row>
    <row r="26" spans="2:10" ht="21.6" thickBot="1" x14ac:dyDescent="0.45">
      <c r="B26" s="23" t="s">
        <v>55</v>
      </c>
      <c r="C26" s="33">
        <f>C25*2080</f>
        <v>75670.400000000009</v>
      </c>
      <c r="D26" s="34"/>
      <c r="E26" s="62"/>
      <c r="F26" s="36"/>
      <c r="G26" s="28"/>
      <c r="H26" s="45"/>
      <c r="J26" s="22"/>
    </row>
    <row r="27" spans="2:10" ht="21" x14ac:dyDescent="0.4">
      <c r="B27" s="16" t="s">
        <v>56</v>
      </c>
      <c r="C27" s="30">
        <f>[1]Clinical!G9</f>
        <v>40.57</v>
      </c>
      <c r="D27" s="17">
        <v>40.06</v>
      </c>
      <c r="E27" s="18"/>
      <c r="F27" s="63" t="s">
        <v>57</v>
      </c>
      <c r="G27" s="20" t="s">
        <v>58</v>
      </c>
      <c r="H27" s="21">
        <f>H28/2080</f>
        <v>33.217788461538461</v>
      </c>
      <c r="J27" s="22">
        <f>C27-H27</f>
        <v>7.352211538461539</v>
      </c>
    </row>
    <row r="28" spans="2:10" ht="21.6" thickBot="1" x14ac:dyDescent="0.45">
      <c r="B28" s="23" t="s">
        <v>59</v>
      </c>
      <c r="C28" s="24">
        <f>C27*2080</f>
        <v>84385.600000000006</v>
      </c>
      <c r="D28" s="25">
        <f>D27*2080</f>
        <v>83324.800000000003</v>
      </c>
      <c r="E28" s="26">
        <f>(C28-D28)/D28</f>
        <v>1.2730903644533234E-2</v>
      </c>
      <c r="F28" s="64"/>
      <c r="G28" s="28"/>
      <c r="H28" s="29">
        <v>69093</v>
      </c>
      <c r="J28" s="22"/>
    </row>
    <row r="29" spans="2:10" ht="21" x14ac:dyDescent="0.4">
      <c r="B29" s="16" t="s">
        <v>60</v>
      </c>
      <c r="C29" s="30">
        <f>[1]Therapies!E18</f>
        <v>37.751999999999995</v>
      </c>
      <c r="D29" s="17"/>
      <c r="E29" s="18"/>
      <c r="F29" s="31"/>
      <c r="G29" s="20" t="s">
        <v>32</v>
      </c>
      <c r="H29" s="21">
        <f>H30/2080</f>
        <v>25.143750000000001</v>
      </c>
      <c r="J29" s="22">
        <f>C29-H29</f>
        <v>12.608249999999995</v>
      </c>
    </row>
    <row r="30" spans="2:10" ht="21.6" thickBot="1" x14ac:dyDescent="0.45">
      <c r="B30" s="23" t="s">
        <v>61</v>
      </c>
      <c r="C30" s="24">
        <f>C29*2080</f>
        <v>78524.159999999989</v>
      </c>
      <c r="D30" s="25"/>
      <c r="E30" s="26"/>
      <c r="F30" s="40"/>
      <c r="G30" s="28"/>
      <c r="H30" s="29">
        <v>52299</v>
      </c>
      <c r="J30" s="22"/>
    </row>
    <row r="31" spans="2:10" ht="21" x14ac:dyDescent="0.4">
      <c r="B31" s="16" t="s">
        <v>62</v>
      </c>
      <c r="C31" s="30">
        <f>[1]Nursing!G6</f>
        <v>43.41</v>
      </c>
      <c r="D31" s="17">
        <v>41.76</v>
      </c>
      <c r="E31" s="18"/>
      <c r="F31" s="31"/>
      <c r="G31" s="20" t="s">
        <v>63</v>
      </c>
      <c r="H31" s="65">
        <f>H32/2080</f>
        <v>33.460576923076921</v>
      </c>
      <c r="J31" s="22">
        <f>C31-H31</f>
        <v>9.9494230769230754</v>
      </c>
    </row>
    <row r="32" spans="2:10" ht="21.6" thickBot="1" x14ac:dyDescent="0.45">
      <c r="B32" s="23" t="s">
        <v>64</v>
      </c>
      <c r="C32" s="24">
        <f>C31*2080</f>
        <v>90292.799999999988</v>
      </c>
      <c r="D32" s="25">
        <f>D31*2080</f>
        <v>86860.800000000003</v>
      </c>
      <c r="E32" s="26">
        <f>(C32-D32)/D32</f>
        <v>3.9511494252873397E-2</v>
      </c>
      <c r="F32" s="40"/>
      <c r="G32" s="28"/>
      <c r="H32" s="29">
        <v>69598</v>
      </c>
      <c r="J32" s="22"/>
    </row>
    <row r="33" spans="2:10" ht="21" x14ac:dyDescent="0.4">
      <c r="B33" s="16" t="s">
        <v>65</v>
      </c>
      <c r="C33" s="30">
        <f>[1]Nursing!G11</f>
        <v>59.6</v>
      </c>
      <c r="D33" s="17">
        <v>57.41</v>
      </c>
      <c r="E33" s="18"/>
      <c r="F33" s="31"/>
      <c r="G33" s="20" t="s">
        <v>66</v>
      </c>
      <c r="H33" s="21">
        <f>H34/2080</f>
        <v>48.354326923076925</v>
      </c>
      <c r="J33" s="22">
        <f>C33-H33</f>
        <v>11.245673076923076</v>
      </c>
    </row>
    <row r="34" spans="2:10" ht="21.6" thickBot="1" x14ac:dyDescent="0.45">
      <c r="B34" s="23" t="s">
        <v>67</v>
      </c>
      <c r="C34" s="24">
        <f>C33*2080</f>
        <v>123968</v>
      </c>
      <c r="D34" s="25">
        <f>D33*2080</f>
        <v>119412.79999999999</v>
      </c>
      <c r="E34" s="26">
        <f>(C34-D34)/D34</f>
        <v>3.8146664344191006E-2</v>
      </c>
      <c r="F34" s="40"/>
      <c r="G34" s="28"/>
      <c r="H34" s="29">
        <v>100577</v>
      </c>
      <c r="J34" s="22"/>
    </row>
    <row r="35" spans="2:10" ht="21" x14ac:dyDescent="0.4">
      <c r="B35" s="10"/>
      <c r="C35" s="10"/>
      <c r="D35" s="10"/>
      <c r="E35" s="10"/>
      <c r="F35" s="10"/>
      <c r="G35" s="11"/>
    </row>
    <row r="36" spans="2:10" ht="36" x14ac:dyDescent="0.35">
      <c r="B36" s="66" t="s">
        <v>68</v>
      </c>
      <c r="C36" s="67">
        <f>C6</f>
        <v>34927.359999999993</v>
      </c>
      <c r="D36" s="68"/>
      <c r="E36" s="68"/>
      <c r="F36" s="68"/>
      <c r="G36" s="69"/>
    </row>
    <row r="37" spans="2:10" ht="18" x14ac:dyDescent="0.35">
      <c r="B37" s="68"/>
      <c r="C37" s="68"/>
      <c r="D37" s="68"/>
      <c r="E37" s="68"/>
      <c r="F37" s="68"/>
      <c r="G37" s="69"/>
    </row>
    <row r="38" spans="2:10" ht="36" x14ac:dyDescent="0.35">
      <c r="B38" s="66" t="s">
        <v>69</v>
      </c>
      <c r="C38" s="70">
        <f>AVERAGE(14.25,15)</f>
        <v>14.625</v>
      </c>
      <c r="D38" s="68"/>
      <c r="E38" s="68"/>
      <c r="F38" s="68" t="s">
        <v>70</v>
      </c>
      <c r="G38" s="69"/>
    </row>
    <row r="39" spans="2:10" ht="18" x14ac:dyDescent="0.35">
      <c r="B39" s="68"/>
      <c r="C39" s="68"/>
      <c r="D39" s="68"/>
      <c r="E39" s="68"/>
      <c r="F39" s="68"/>
      <c r="G39" s="69"/>
    </row>
    <row r="40" spans="2:10" ht="18" x14ac:dyDescent="0.35">
      <c r="B40" s="71" t="s">
        <v>71</v>
      </c>
      <c r="C40" s="72">
        <v>0.224</v>
      </c>
      <c r="D40" s="68"/>
      <c r="E40" s="68"/>
      <c r="F40" s="68" t="s">
        <v>72</v>
      </c>
      <c r="G40" s="69"/>
    </row>
    <row r="41" spans="2:10" ht="72" x14ac:dyDescent="0.35">
      <c r="B41" s="71"/>
      <c r="C41" s="68"/>
      <c r="D41" s="68"/>
      <c r="E41" s="68"/>
      <c r="F41" s="69" t="s">
        <v>73</v>
      </c>
      <c r="G41" s="69"/>
    </row>
    <row r="42" spans="2:10" ht="18" x14ac:dyDescent="0.35">
      <c r="B42" s="73" t="s">
        <v>74</v>
      </c>
      <c r="C42" s="72">
        <v>3.7000000000000002E-3</v>
      </c>
      <c r="D42" s="68"/>
      <c r="E42" s="68"/>
      <c r="F42" s="68"/>
      <c r="G42" s="69"/>
    </row>
    <row r="43" spans="2:10" ht="18" x14ac:dyDescent="0.35">
      <c r="B43" s="68"/>
      <c r="C43" s="68"/>
      <c r="D43" s="68"/>
      <c r="E43" s="68"/>
      <c r="F43" s="68"/>
      <c r="G43" s="69"/>
    </row>
    <row r="44" spans="2:10" ht="18" x14ac:dyDescent="0.35">
      <c r="B44" s="73" t="s">
        <v>75</v>
      </c>
      <c r="C44" s="74">
        <v>0.12</v>
      </c>
      <c r="D44" s="68"/>
      <c r="E44" s="68"/>
      <c r="F44" s="68" t="s">
        <v>76</v>
      </c>
      <c r="G44" s="69"/>
    </row>
  </sheetData>
  <mergeCells count="18">
    <mergeCell ref="G25:G26"/>
    <mergeCell ref="F27:F28"/>
    <mergeCell ref="G27:G28"/>
    <mergeCell ref="G29:G30"/>
    <mergeCell ref="G31:G32"/>
    <mergeCell ref="G33:G34"/>
    <mergeCell ref="G13:G14"/>
    <mergeCell ref="G15:G16"/>
    <mergeCell ref="G17:G18"/>
    <mergeCell ref="G19:G20"/>
    <mergeCell ref="G21:G22"/>
    <mergeCell ref="G23:G24"/>
    <mergeCell ref="F5:F6"/>
    <mergeCell ref="G5:G6"/>
    <mergeCell ref="G7:G8"/>
    <mergeCell ref="G9:G10"/>
    <mergeCell ref="G11:G12"/>
    <mergeCell ref="H11:H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V58"/>
  <sheetViews>
    <sheetView showGridLines="0" tabSelected="1" zoomScale="50" zoomScaleNormal="50" workbookViewId="0">
      <selection activeCell="P63" sqref="P63"/>
    </sheetView>
  </sheetViews>
  <sheetFormatPr defaultRowHeight="14.4" x14ac:dyDescent="0.3"/>
  <cols>
    <col min="1" max="1" width="4.109375" style="107" customWidth="1"/>
    <col min="2" max="2" width="44.33203125" style="107" customWidth="1"/>
    <col min="3" max="3" width="10" style="107" customWidth="1"/>
    <col min="4" max="4" width="15" style="107" customWidth="1"/>
    <col min="5" max="5" width="21.33203125" style="107" customWidth="1"/>
    <col min="6" max="6" width="29.88671875" style="107" customWidth="1"/>
    <col min="7" max="7" width="3.109375" style="107" customWidth="1"/>
    <col min="8" max="8" width="49.33203125" style="107" hidden="1" customWidth="1"/>
    <col min="9" max="9" width="6.5546875" style="107" hidden="1" customWidth="1"/>
    <col min="10" max="10" width="32.33203125" style="107" hidden="1" customWidth="1"/>
    <col min="11" max="11" width="15.109375" style="345" hidden="1" customWidth="1"/>
    <col min="12" max="12" width="31" style="346" hidden="1" customWidth="1"/>
    <col min="13" max="14" width="6.21875" style="107" hidden="1" customWidth="1"/>
    <col min="15" max="15" width="5.109375" style="107" hidden="1" customWidth="1"/>
    <col min="16" max="16" width="6.21875" style="107" customWidth="1"/>
    <col min="17" max="17" width="72.5546875" style="107" customWidth="1"/>
    <col min="18" max="18" width="3.5546875" style="107" customWidth="1"/>
    <col min="19" max="19" width="28.6640625" style="107" bestFit="1" customWidth="1"/>
    <col min="20" max="20" width="15.109375" style="107" bestFit="1" customWidth="1"/>
    <col min="21" max="21" width="19.77734375" style="107" bestFit="1" customWidth="1"/>
    <col min="22" max="22" width="17.5546875" style="107" customWidth="1"/>
    <col min="23" max="77" width="0" style="107" hidden="1" customWidth="1"/>
    <col min="78" max="16384" width="8.88671875" style="107"/>
  </cols>
  <sheetData>
    <row r="1" spans="1:21" s="81" customFormat="1" ht="24" customHeight="1" thickBot="1" x14ac:dyDescent="0.55000000000000004">
      <c r="A1" s="75"/>
      <c r="B1" s="76" t="s">
        <v>77</v>
      </c>
      <c r="C1" s="76"/>
      <c r="D1" s="76"/>
      <c r="E1" s="76"/>
      <c r="F1" s="76"/>
      <c r="G1" s="77"/>
      <c r="H1" s="78" t="s">
        <v>78</v>
      </c>
      <c r="I1" s="78"/>
      <c r="J1" s="78"/>
      <c r="K1" s="78"/>
      <c r="L1" s="78"/>
      <c r="M1" s="79"/>
      <c r="N1" s="80"/>
      <c r="O1" s="80"/>
      <c r="Q1" s="82" t="s">
        <v>79</v>
      </c>
      <c r="R1" s="82"/>
      <c r="S1" s="82"/>
      <c r="T1" s="82"/>
      <c r="U1" s="82"/>
    </row>
    <row r="2" spans="1:21" s="81" customFormat="1" ht="24" customHeight="1" thickTop="1" thickBot="1" x14ac:dyDescent="0.55000000000000004">
      <c r="A2" s="75"/>
      <c r="B2" s="83" t="s">
        <v>80</v>
      </c>
      <c r="C2" s="84" t="s">
        <v>81</v>
      </c>
      <c r="D2" s="85" t="s">
        <v>82</v>
      </c>
      <c r="E2" s="86" t="s">
        <v>83</v>
      </c>
      <c r="F2" s="87">
        <v>2080</v>
      </c>
      <c r="G2" s="88"/>
      <c r="H2" s="89" t="s">
        <v>84</v>
      </c>
      <c r="I2" s="89"/>
      <c r="J2" s="89"/>
      <c r="K2" s="89"/>
      <c r="L2" s="90"/>
      <c r="M2" s="91"/>
      <c r="N2" s="92"/>
      <c r="O2" s="92"/>
      <c r="Q2" s="93" t="s">
        <v>85</v>
      </c>
      <c r="R2" s="93"/>
      <c r="S2" s="93"/>
      <c r="T2" s="93"/>
      <c r="U2" s="94"/>
    </row>
    <row r="3" spans="1:21" ht="24" customHeight="1" thickBot="1" x14ac:dyDescent="0.45">
      <c r="A3" s="95"/>
      <c r="B3" s="96" t="s">
        <v>86</v>
      </c>
      <c r="C3" s="97">
        <v>15</v>
      </c>
      <c r="D3" s="97">
        <f>C3*8</f>
        <v>120</v>
      </c>
      <c r="E3" s="98"/>
      <c r="F3" s="99">
        <f>D3</f>
        <v>120</v>
      </c>
      <c r="G3" s="100"/>
      <c r="H3" s="101" t="s">
        <v>87</v>
      </c>
      <c r="I3" s="102"/>
      <c r="J3" s="102"/>
      <c r="K3" s="102"/>
      <c r="L3" s="103"/>
      <c r="M3" s="104"/>
      <c r="N3" s="105"/>
      <c r="O3" s="106"/>
      <c r="Q3" s="108" t="s">
        <v>88</v>
      </c>
      <c r="R3" s="109"/>
      <c r="S3" s="109"/>
      <c r="T3" s="109"/>
      <c r="U3" s="110"/>
    </row>
    <row r="4" spans="1:21" ht="24" customHeight="1" x14ac:dyDescent="0.35">
      <c r="A4" s="95"/>
      <c r="B4" s="96" t="s">
        <v>89</v>
      </c>
      <c r="C4" s="97">
        <v>8</v>
      </c>
      <c r="D4" s="97">
        <f>C4*8</f>
        <v>64</v>
      </c>
      <c r="E4" s="98"/>
      <c r="F4" s="99">
        <f>D4</f>
        <v>64</v>
      </c>
      <c r="G4" s="100"/>
      <c r="H4" s="111"/>
      <c r="I4" s="112"/>
      <c r="J4" s="113"/>
      <c r="K4" s="113"/>
      <c r="L4" s="114"/>
      <c r="M4" s="104"/>
      <c r="N4" s="115"/>
      <c r="O4" s="116"/>
      <c r="P4" s="117"/>
      <c r="Q4" s="118"/>
      <c r="R4" s="119"/>
      <c r="S4" s="120"/>
      <c r="T4" s="120"/>
      <c r="U4" s="121"/>
    </row>
    <row r="5" spans="1:21" ht="24" customHeight="1" x14ac:dyDescent="0.4">
      <c r="A5" s="95"/>
      <c r="B5" s="96" t="s">
        <v>90</v>
      </c>
      <c r="C5" s="97">
        <v>10</v>
      </c>
      <c r="D5" s="97">
        <f>C5*8</f>
        <v>80</v>
      </c>
      <c r="E5" s="98"/>
      <c r="F5" s="99">
        <f>D5</f>
        <v>80</v>
      </c>
      <c r="G5" s="100"/>
      <c r="H5" s="122" t="s">
        <v>4</v>
      </c>
      <c r="I5" s="123"/>
      <c r="J5" s="124" t="s">
        <v>91</v>
      </c>
      <c r="K5" s="124" t="s">
        <v>92</v>
      </c>
      <c r="L5" s="125" t="s">
        <v>93</v>
      </c>
      <c r="M5" s="104"/>
      <c r="N5" s="126"/>
      <c r="O5" s="127"/>
      <c r="Q5" s="128" t="s">
        <v>4</v>
      </c>
      <c r="R5" s="129"/>
      <c r="S5" s="130" t="s">
        <v>91</v>
      </c>
      <c r="T5" s="130" t="s">
        <v>92</v>
      </c>
      <c r="U5" s="131" t="s">
        <v>93</v>
      </c>
    </row>
    <row r="6" spans="1:21" ht="24" customHeight="1" x14ac:dyDescent="0.35">
      <c r="A6" s="95"/>
      <c r="B6" s="132" t="s">
        <v>94</v>
      </c>
      <c r="C6" s="97">
        <v>2.5</v>
      </c>
      <c r="D6" s="97">
        <f>C6*8</f>
        <v>20</v>
      </c>
      <c r="E6" s="133"/>
      <c r="F6" s="99">
        <f>D6</f>
        <v>20</v>
      </c>
      <c r="G6" s="100"/>
      <c r="H6" s="134" t="s">
        <v>95</v>
      </c>
      <c r="I6" s="112"/>
      <c r="J6" s="135" t="e">
        <f>#REF!</f>
        <v>#REF!</v>
      </c>
      <c r="K6" s="136">
        <f>'[2]Model positions FTEs'!$M$10</f>
        <v>1</v>
      </c>
      <c r="L6" s="137" t="e">
        <f>J6*K6</f>
        <v>#REF!</v>
      </c>
      <c r="M6" s="104"/>
      <c r="N6" s="115"/>
      <c r="O6" s="138"/>
      <c r="Q6" s="139" t="s">
        <v>95</v>
      </c>
      <c r="R6" s="119"/>
      <c r="S6" s="140">
        <f>'M2020 CHART'!C22</f>
        <v>69600</v>
      </c>
      <c r="T6" s="141">
        <f>'[2]Model positions FTEs'!$M$10</f>
        <v>1</v>
      </c>
      <c r="U6" s="142">
        <f>S6*T6</f>
        <v>69600</v>
      </c>
    </row>
    <row r="7" spans="1:21" ht="24" customHeight="1" x14ac:dyDescent="0.35">
      <c r="A7" s="95"/>
      <c r="B7" s="132" t="s">
        <v>96</v>
      </c>
      <c r="C7" s="97">
        <v>7.5</v>
      </c>
      <c r="D7" s="97">
        <f>C7*8</f>
        <v>60</v>
      </c>
      <c r="E7" s="143"/>
      <c r="F7" s="99">
        <f>C7*44.9</f>
        <v>336.75</v>
      </c>
      <c r="G7" s="100"/>
      <c r="H7" s="144" t="s">
        <v>97</v>
      </c>
      <c r="I7" s="112"/>
      <c r="J7" s="135" t="e">
        <f>#REF!</f>
        <v>#REF!</v>
      </c>
      <c r="K7" s="136">
        <f>'[2]Model positions FTEs'!$M$11</f>
        <v>1.1599999999999999</v>
      </c>
      <c r="L7" s="137" t="e">
        <f t="shared" ref="L7:L17" si="0">J7*K7</f>
        <v>#REF!</v>
      </c>
      <c r="M7" s="104"/>
      <c r="N7" s="115"/>
      <c r="O7" s="138"/>
      <c r="Q7" s="145" t="s">
        <v>98</v>
      </c>
      <c r="R7" s="119"/>
      <c r="S7" s="140">
        <f>'M2020 CHART'!C18</f>
        <v>63627.199999999997</v>
      </c>
      <c r="T7" s="141">
        <f>'[2]Model positions FTEs'!$M$11</f>
        <v>1.1599999999999999</v>
      </c>
      <c r="U7" s="142">
        <f t="shared" ref="U7:U17" si="1">S7*T7</f>
        <v>73807.551999999996</v>
      </c>
    </row>
    <row r="8" spans="1:21" ht="24" customHeight="1" x14ac:dyDescent="0.35">
      <c r="A8" s="95"/>
      <c r="B8" s="132" t="s">
        <v>99</v>
      </c>
      <c r="C8" s="97">
        <v>2.5</v>
      </c>
      <c r="D8" s="146"/>
      <c r="E8" s="98"/>
      <c r="F8" s="99">
        <f>C8*44.9</f>
        <v>112.25</v>
      </c>
      <c r="G8" s="100"/>
      <c r="H8" s="144" t="s">
        <v>100</v>
      </c>
      <c r="I8" s="112"/>
      <c r="J8" s="135" t="e">
        <f>#REF!</f>
        <v>#REF!</v>
      </c>
      <c r="K8" s="136">
        <f>'[2]Model positions FTEs'!$M$24</f>
        <v>1.0444444444444445</v>
      </c>
      <c r="L8" s="137" t="e">
        <f t="shared" si="0"/>
        <v>#REF!</v>
      </c>
      <c r="M8" s="104"/>
      <c r="N8" s="115"/>
      <c r="O8" s="138"/>
      <c r="Q8" s="145" t="s">
        <v>100</v>
      </c>
      <c r="R8" s="119"/>
      <c r="S8" s="140">
        <f>'M2020 CHART'!C32</f>
        <v>90292.799999999988</v>
      </c>
      <c r="T8" s="141">
        <f>'[2]Model positions FTEs'!$M$24</f>
        <v>1.0444444444444445</v>
      </c>
      <c r="U8" s="142">
        <f t="shared" si="1"/>
        <v>94305.813333333324</v>
      </c>
    </row>
    <row r="9" spans="1:21" ht="24" customHeight="1" x14ac:dyDescent="0.35">
      <c r="A9" s="147"/>
      <c r="B9" s="132" t="s">
        <v>101</v>
      </c>
      <c r="C9" s="97">
        <v>5</v>
      </c>
      <c r="D9" s="148"/>
      <c r="E9" s="148"/>
      <c r="F9" s="149">
        <f>C9*44.9</f>
        <v>224.5</v>
      </c>
      <c r="G9" s="100"/>
      <c r="H9" s="144" t="s">
        <v>102</v>
      </c>
      <c r="I9" s="112"/>
      <c r="J9" s="135" t="e">
        <f>#REF!</f>
        <v>#REF!</v>
      </c>
      <c r="K9" s="136">
        <v>4</v>
      </c>
      <c r="L9" s="137" t="e">
        <f t="shared" si="0"/>
        <v>#REF!</v>
      </c>
      <c r="M9" s="104"/>
      <c r="N9" s="115"/>
      <c r="O9" s="150"/>
      <c r="Q9" s="145" t="s">
        <v>102</v>
      </c>
      <c r="R9" s="119"/>
      <c r="S9" s="140">
        <f>'M2020 CHART'!C24</f>
        <v>70766.799999999988</v>
      </c>
      <c r="T9" s="141">
        <v>4</v>
      </c>
      <c r="U9" s="142">
        <f t="shared" si="1"/>
        <v>283067.19999999995</v>
      </c>
    </row>
    <row r="10" spans="1:21" ht="24" customHeight="1" x14ac:dyDescent="0.35">
      <c r="A10" s="147"/>
      <c r="B10" s="132" t="s">
        <v>103</v>
      </c>
      <c r="C10" s="97">
        <v>2.25</v>
      </c>
      <c r="D10" s="151"/>
      <c r="E10" s="152"/>
      <c r="F10" s="149">
        <f>C10*44.9</f>
        <v>101.02499999999999</v>
      </c>
      <c r="G10" s="100"/>
      <c r="H10" s="144" t="s">
        <v>104</v>
      </c>
      <c r="I10" s="112"/>
      <c r="J10" s="135" t="e">
        <f>#REF!</f>
        <v>#REF!</v>
      </c>
      <c r="K10" s="136">
        <v>4</v>
      </c>
      <c r="L10" s="137" t="e">
        <f t="shared" si="0"/>
        <v>#REF!</v>
      </c>
      <c r="M10" s="104"/>
      <c r="N10" s="115"/>
      <c r="O10" s="150"/>
      <c r="Q10" s="145" t="s">
        <v>104</v>
      </c>
      <c r="R10" s="119"/>
      <c r="S10" s="140">
        <f>'M2020 CHART'!C26</f>
        <v>75670.400000000009</v>
      </c>
      <c r="T10" s="141">
        <v>4</v>
      </c>
      <c r="U10" s="142">
        <f t="shared" si="1"/>
        <v>302681.60000000003</v>
      </c>
    </row>
    <row r="11" spans="1:21" ht="24" customHeight="1" x14ac:dyDescent="0.35">
      <c r="A11" s="147"/>
      <c r="B11" s="153"/>
      <c r="C11" s="154"/>
      <c r="D11" s="151"/>
      <c r="E11" s="152"/>
      <c r="F11" s="149"/>
      <c r="G11" s="100"/>
      <c r="H11" s="144" t="s">
        <v>105</v>
      </c>
      <c r="I11" s="112"/>
      <c r="J11" s="135" t="e">
        <f>#REF!</f>
        <v>#REF!</v>
      </c>
      <c r="K11" s="136">
        <v>4.8</v>
      </c>
      <c r="L11" s="137" t="e">
        <f t="shared" si="0"/>
        <v>#REF!</v>
      </c>
      <c r="M11" s="104"/>
      <c r="N11" s="115"/>
      <c r="O11" s="150"/>
      <c r="Q11" s="145" t="s">
        <v>105</v>
      </c>
      <c r="R11" s="119"/>
      <c r="S11" s="140">
        <f>'M2020 CHART'!C30</f>
        <v>78524.159999999989</v>
      </c>
      <c r="T11" s="141">
        <v>4.8</v>
      </c>
      <c r="U11" s="142">
        <f t="shared" si="1"/>
        <v>376915.96799999994</v>
      </c>
    </row>
    <row r="12" spans="1:21" ht="24" customHeight="1" x14ac:dyDescent="0.4">
      <c r="A12" s="147"/>
      <c r="B12" s="155"/>
      <c r="C12" s="156"/>
      <c r="D12" s="156"/>
      <c r="E12" s="157" t="s">
        <v>106</v>
      </c>
      <c r="F12" s="158">
        <f>SUM(F3:F10)</f>
        <v>1058.5250000000001</v>
      </c>
      <c r="G12" s="100"/>
      <c r="H12" s="159" t="s">
        <v>107</v>
      </c>
      <c r="I12" s="160"/>
      <c r="J12" s="135" t="e">
        <f>#REF!</f>
        <v>#REF!</v>
      </c>
      <c r="K12" s="136">
        <v>2.2000000000000002</v>
      </c>
      <c r="L12" s="137" t="e">
        <f t="shared" si="0"/>
        <v>#REF!</v>
      </c>
      <c r="M12" s="104"/>
      <c r="N12" s="126"/>
      <c r="O12" s="138"/>
      <c r="Q12" s="161" t="s">
        <v>108</v>
      </c>
      <c r="R12" s="162"/>
      <c r="S12" s="140">
        <f>'M2020 CHART'!C18*(40%)+'M2020 CHART'!C14*(60%)</f>
        <v>58098.559999999998</v>
      </c>
      <c r="T12" s="141">
        <v>2.2000000000000002</v>
      </c>
      <c r="U12" s="142">
        <f>S12*T12</f>
        <v>127816.83200000001</v>
      </c>
    </row>
    <row r="13" spans="1:21" ht="24" customHeight="1" thickBot="1" x14ac:dyDescent="0.4">
      <c r="A13" s="163"/>
      <c r="B13" s="164" t="s">
        <v>109</v>
      </c>
      <c r="C13" s="165"/>
      <c r="D13" s="165"/>
      <c r="E13" s="166"/>
      <c r="F13" s="167">
        <f>F2-F12</f>
        <v>1021.4749999999999</v>
      </c>
      <c r="G13" s="100"/>
      <c r="H13" s="159" t="s">
        <v>110</v>
      </c>
      <c r="I13" s="112"/>
      <c r="J13" s="135" t="e">
        <f>#REF!</f>
        <v>#REF!</v>
      </c>
      <c r="K13" s="136">
        <v>8.5</v>
      </c>
      <c r="L13" s="137" t="e">
        <f t="shared" si="0"/>
        <v>#REF!</v>
      </c>
      <c r="M13" s="104"/>
      <c r="N13" s="115"/>
      <c r="O13" s="168"/>
      <c r="Q13" s="161" t="s">
        <v>111</v>
      </c>
      <c r="R13" s="119"/>
      <c r="S13" s="140">
        <f>'M2020 CHART'!C8*(50%)+'M2020 CHART'!C14*(50%)</f>
        <v>49811.840000000004</v>
      </c>
      <c r="T13" s="141">
        <v>8.5</v>
      </c>
      <c r="U13" s="142">
        <f t="shared" si="1"/>
        <v>423400.64</v>
      </c>
    </row>
    <row r="14" spans="1:21" ht="24" customHeight="1" x14ac:dyDescent="0.35">
      <c r="A14" s="147"/>
      <c r="B14" s="169"/>
      <c r="C14" s="170"/>
      <c r="D14" s="171"/>
      <c r="E14" s="171"/>
      <c r="F14" s="172"/>
      <c r="G14" s="100"/>
      <c r="H14" s="159" t="s">
        <v>112</v>
      </c>
      <c r="I14" s="112"/>
      <c r="J14" s="135" t="e">
        <f>#REF!</f>
        <v>#REF!</v>
      </c>
      <c r="K14" s="136">
        <f>'[2]Model positions FTEs'!$M$26</f>
        <v>0.35555555555555557</v>
      </c>
      <c r="L14" s="137" t="e">
        <f t="shared" si="0"/>
        <v>#REF!</v>
      </c>
      <c r="M14" s="104"/>
      <c r="N14" s="115"/>
      <c r="O14" s="138"/>
      <c r="Q14" s="161" t="s">
        <v>112</v>
      </c>
      <c r="R14" s="119"/>
      <c r="S14" s="140">
        <f>'M2020 CHART'!C28</f>
        <v>84385.600000000006</v>
      </c>
      <c r="T14" s="141">
        <f>'[2]Model positions FTEs'!$M$26</f>
        <v>0.35555555555555557</v>
      </c>
      <c r="U14" s="142">
        <f t="shared" si="1"/>
        <v>30003.768888888892</v>
      </c>
    </row>
    <row r="15" spans="1:21" ht="24" customHeight="1" x14ac:dyDescent="0.35">
      <c r="A15" s="147"/>
      <c r="B15" s="173"/>
      <c r="C15" s="156"/>
      <c r="D15" s="174"/>
      <c r="E15" s="174" t="s">
        <v>113</v>
      </c>
      <c r="F15" s="175" t="s">
        <v>114</v>
      </c>
      <c r="G15" s="100"/>
      <c r="H15" s="159" t="s">
        <v>115</v>
      </c>
      <c r="I15" s="112"/>
      <c r="J15" s="135" t="e">
        <f>#REF!</f>
        <v>#REF!</v>
      </c>
      <c r="K15" s="136">
        <f>'[2]Model positions FTEs'!$M$28</f>
        <v>0.1111111111111111</v>
      </c>
      <c r="L15" s="137" t="e">
        <f t="shared" si="0"/>
        <v>#REF!</v>
      </c>
      <c r="M15" s="104"/>
      <c r="N15" s="100"/>
      <c r="O15" s="138"/>
      <c r="Q15" s="161" t="s">
        <v>115</v>
      </c>
      <c r="R15" s="119"/>
      <c r="S15" s="140">
        <f>'M2020 CHART'!C20</f>
        <v>66539.199999999997</v>
      </c>
      <c r="T15" s="141">
        <f>'[2]Model positions FTEs'!$M$28</f>
        <v>0.1111111111111111</v>
      </c>
      <c r="U15" s="142">
        <f t="shared" si="1"/>
        <v>7393.2444444444436</v>
      </c>
    </row>
    <row r="16" spans="1:21" ht="24" customHeight="1" x14ac:dyDescent="0.4">
      <c r="A16" s="147"/>
      <c r="B16" s="176" t="s">
        <v>116</v>
      </c>
      <c r="C16" s="156"/>
      <c r="D16" s="177"/>
      <c r="E16" s="178">
        <f>'[2]FY20 UFR BTL 3317'!G5+'[2]FY20 UFR BTL 3317'!M5</f>
        <v>16120.839159321707</v>
      </c>
      <c r="F16" s="179" t="s">
        <v>117</v>
      </c>
      <c r="G16" s="100"/>
      <c r="H16" s="159" t="s">
        <v>118</v>
      </c>
      <c r="I16" s="160"/>
      <c r="J16" s="135" t="e">
        <f>#REF!</f>
        <v>#REF!</v>
      </c>
      <c r="K16" s="136">
        <f>'[2]Model positions FTEs'!$M$32</f>
        <v>1.35</v>
      </c>
      <c r="L16" s="137" t="e">
        <f t="shared" si="0"/>
        <v>#REF!</v>
      </c>
      <c r="M16" s="104"/>
      <c r="N16" s="126"/>
      <c r="O16" s="138"/>
      <c r="Q16" s="161" t="s">
        <v>118</v>
      </c>
      <c r="R16" s="162"/>
      <c r="S16" s="140">
        <f>'M2020 CHART'!C36</f>
        <v>34927.359999999993</v>
      </c>
      <c r="T16" s="141">
        <f>'[2]Model positions FTEs'!$M$32</f>
        <v>1.35</v>
      </c>
      <c r="U16" s="142">
        <f t="shared" si="1"/>
        <v>47151.935999999994</v>
      </c>
    </row>
    <row r="17" spans="1:22" ht="24" customHeight="1" x14ac:dyDescent="0.4">
      <c r="A17" s="147"/>
      <c r="B17" s="169" t="s">
        <v>119</v>
      </c>
      <c r="C17" s="151"/>
      <c r="D17" s="156"/>
      <c r="E17" s="154"/>
      <c r="F17" s="179"/>
      <c r="G17" s="100"/>
      <c r="H17" s="180" t="s">
        <v>120</v>
      </c>
      <c r="I17" s="123"/>
      <c r="J17" s="181" t="e">
        <f>#REF!</f>
        <v>#REF!</v>
      </c>
      <c r="K17" s="182">
        <f>'[2]Model positions FTEs'!$M$33</f>
        <v>1.35</v>
      </c>
      <c r="L17" s="183" t="e">
        <f t="shared" si="0"/>
        <v>#REF!</v>
      </c>
      <c r="M17" s="104"/>
      <c r="N17" s="126"/>
      <c r="O17" s="138"/>
      <c r="Q17" s="184" t="s">
        <v>120</v>
      </c>
      <c r="R17" s="129"/>
      <c r="S17" s="185">
        <f>'M2020 CHART'!C36</f>
        <v>34927.359999999993</v>
      </c>
      <c r="T17" s="186">
        <f>'[2]Model positions FTEs'!$M$33</f>
        <v>1.35</v>
      </c>
      <c r="U17" s="187">
        <f t="shared" si="1"/>
        <v>47151.935999999994</v>
      </c>
    </row>
    <row r="18" spans="1:22" ht="24" customHeight="1" x14ac:dyDescent="0.4">
      <c r="A18" s="147"/>
      <c r="B18" s="96" t="s">
        <v>121</v>
      </c>
      <c r="C18" s="148"/>
      <c r="D18" s="188"/>
      <c r="E18" s="189">
        <f>'[2]FY20 UFR BTL 3317'!E5</f>
        <v>3230.1661201220372</v>
      </c>
      <c r="F18" s="179" t="s">
        <v>117</v>
      </c>
      <c r="G18" s="100"/>
      <c r="H18" s="190" t="s">
        <v>122</v>
      </c>
      <c r="I18" s="123"/>
      <c r="J18" s="191"/>
      <c r="K18" s="182">
        <f>SUM(K6:K17)</f>
        <v>29.871111111111112</v>
      </c>
      <c r="L18" s="183" t="e">
        <f>SUM(L6:L17)</f>
        <v>#REF!</v>
      </c>
      <c r="M18" s="104"/>
      <c r="N18" s="126"/>
      <c r="O18" s="192"/>
      <c r="Q18" s="193" t="s">
        <v>122</v>
      </c>
      <c r="R18" s="129"/>
      <c r="S18" s="194"/>
      <c r="T18" s="186">
        <f>SUM(T6:T17)</f>
        <v>29.871111111111112</v>
      </c>
      <c r="U18" s="187">
        <f>SUM(U6:U17)</f>
        <v>1883296.4906666668</v>
      </c>
      <c r="V18" s="195"/>
    </row>
    <row r="19" spans="1:22" ht="24" customHeight="1" x14ac:dyDescent="0.4">
      <c r="A19" s="147"/>
      <c r="B19" s="96" t="s">
        <v>123</v>
      </c>
      <c r="C19" s="148"/>
      <c r="D19" s="196"/>
      <c r="E19" s="189">
        <f>SUM('[2]FY20 UFR BTL 3317'!O5+'[2]FY20 UFR BTL 3317'!Q5+'[2]FY20 UFR BTL 3317'!S5+'[2]FY20 UFR BTL 3317'!U5+'[2]FY20 UFR BTL 3317'!W5+'[2]FY20 UFR BTL 3317'!Y5)</f>
        <v>1449.5287388963961</v>
      </c>
      <c r="F19" s="179" t="s">
        <v>117</v>
      </c>
      <c r="G19" s="100"/>
      <c r="H19" s="159"/>
      <c r="I19" s="160"/>
      <c r="J19" s="197"/>
      <c r="K19" s="198"/>
      <c r="L19" s="199"/>
      <c r="M19" s="104"/>
      <c r="N19" s="126"/>
      <c r="O19" s="200"/>
      <c r="Q19" s="201" t="s">
        <v>124</v>
      </c>
      <c r="R19" s="162"/>
      <c r="S19" s="202">
        <f>'M2020 CHART'!C42</f>
        <v>3.7000000000000002E-3</v>
      </c>
      <c r="T19" s="203"/>
      <c r="U19" s="142">
        <f>U18*S19</f>
        <v>6968.1970154666669</v>
      </c>
    </row>
    <row r="20" spans="1:22" ht="24" customHeight="1" x14ac:dyDescent="0.4">
      <c r="A20" s="147"/>
      <c r="B20" s="96" t="s">
        <v>125</v>
      </c>
      <c r="C20" s="148"/>
      <c r="D20" s="196"/>
      <c r="E20" s="189">
        <f>'[2]FY20 UFR BTL 3317'!AK5</f>
        <v>255.80929062703919</v>
      </c>
      <c r="F20" s="179" t="s">
        <v>117</v>
      </c>
      <c r="G20" s="204"/>
      <c r="H20" s="190" t="s">
        <v>126</v>
      </c>
      <c r="I20" s="123"/>
      <c r="J20" s="205" t="e">
        <f>#REF!</f>
        <v>#REF!</v>
      </c>
      <c r="K20" s="206"/>
      <c r="L20" s="183" t="e">
        <f>L18*J20</f>
        <v>#REF!</v>
      </c>
      <c r="M20" s="104"/>
      <c r="N20" s="126"/>
      <c r="O20" s="207"/>
      <c r="Q20" s="193" t="s">
        <v>127</v>
      </c>
      <c r="R20" s="129"/>
      <c r="S20" s="208">
        <f>'M2020 CHART'!C40</f>
        <v>0.224</v>
      </c>
      <c r="T20" s="209"/>
      <c r="U20" s="187">
        <f>U18*S20</f>
        <v>421858.41390933335</v>
      </c>
    </row>
    <row r="21" spans="1:22" ht="24" customHeight="1" x14ac:dyDescent="0.35">
      <c r="A21" s="147"/>
      <c r="B21" s="96" t="s">
        <v>128</v>
      </c>
      <c r="C21" s="148"/>
      <c r="D21" s="210"/>
      <c r="E21" s="211">
        <v>0.12</v>
      </c>
      <c r="F21" s="212" t="s">
        <v>129</v>
      </c>
      <c r="G21" s="204"/>
      <c r="H21" s="180" t="s">
        <v>130</v>
      </c>
      <c r="I21" s="213"/>
      <c r="J21" s="213"/>
      <c r="K21" s="214"/>
      <c r="L21" s="215" t="e">
        <f>SUM(L18+L20)</f>
        <v>#REF!</v>
      </c>
      <c r="M21" s="104"/>
      <c r="N21" s="100"/>
      <c r="O21" s="100"/>
      <c r="Q21" s="184" t="s">
        <v>130</v>
      </c>
      <c r="R21" s="216"/>
      <c r="S21" s="216"/>
      <c r="T21" s="217"/>
      <c r="U21" s="218">
        <f>SUM(U18+U19+U20)</f>
        <v>2312123.1015914669</v>
      </c>
    </row>
    <row r="22" spans="1:22" ht="24" customHeight="1" x14ac:dyDescent="0.35">
      <c r="A22" s="147"/>
      <c r="B22" s="96"/>
      <c r="C22" s="148"/>
      <c r="D22" s="210"/>
      <c r="E22" s="210"/>
      <c r="F22" s="219"/>
      <c r="G22" s="204"/>
      <c r="H22" s="220" t="str">
        <f>B16</f>
        <v>Direct Care Consultant Services</v>
      </c>
      <c r="I22" s="112"/>
      <c r="J22" s="197"/>
      <c r="K22" s="221"/>
      <c r="L22" s="222">
        <f>E16</f>
        <v>16120.839159321707</v>
      </c>
      <c r="M22" s="104"/>
      <c r="N22" s="115"/>
      <c r="O22" s="223"/>
      <c r="Q22" s="224" t="str">
        <f>B16</f>
        <v>Direct Care Consultant Services</v>
      </c>
      <c r="R22" s="119"/>
      <c r="S22" s="119"/>
      <c r="T22" s="120"/>
      <c r="U22" s="142">
        <f>E16</f>
        <v>16120.839159321707</v>
      </c>
    </row>
    <row r="23" spans="1:22" ht="24" customHeight="1" thickBot="1" x14ac:dyDescent="0.4">
      <c r="A23" s="147"/>
      <c r="B23" s="225" t="s">
        <v>131</v>
      </c>
      <c r="C23" s="226"/>
      <c r="D23" s="227"/>
      <c r="E23" s="228">
        <f>'[2]CAF Spring 2021'!CB39</f>
        <v>1.407170954548847E-2</v>
      </c>
      <c r="F23" s="229" t="s">
        <v>132</v>
      </c>
      <c r="G23" s="204"/>
      <c r="H23" s="230"/>
      <c r="I23" s="112"/>
      <c r="J23" s="197"/>
      <c r="K23" s="231"/>
      <c r="L23" s="137"/>
      <c r="M23" s="104"/>
      <c r="N23" s="115"/>
      <c r="O23" s="223"/>
      <c r="Q23" s="161" t="s">
        <v>121</v>
      </c>
      <c r="R23" s="119"/>
      <c r="S23" s="119" t="s">
        <v>133</v>
      </c>
      <c r="T23" s="140">
        <v>3230</v>
      </c>
      <c r="U23" s="142">
        <f>T23*T18</f>
        <v>96483.688888888893</v>
      </c>
    </row>
    <row r="24" spans="1:22" ht="24" customHeight="1" x14ac:dyDescent="0.35">
      <c r="A24" s="95"/>
      <c r="B24" s="232"/>
      <c r="C24" s="232"/>
      <c r="D24" s="232"/>
      <c r="E24" s="233"/>
      <c r="F24" s="234"/>
      <c r="G24" s="100"/>
      <c r="H24" s="230"/>
      <c r="I24" s="112"/>
      <c r="J24" s="197"/>
      <c r="K24" s="231"/>
      <c r="L24" s="137"/>
      <c r="M24" s="104"/>
      <c r="N24" s="115"/>
      <c r="O24" s="223"/>
      <c r="Q24" s="161" t="s">
        <v>134</v>
      </c>
      <c r="R24" s="119"/>
      <c r="S24" s="119" t="s">
        <v>133</v>
      </c>
      <c r="T24" s="235">
        <f>E19</f>
        <v>1449.5287388963961</v>
      </c>
      <c r="U24" s="142">
        <f>T24*T18</f>
        <v>43299.034018323015</v>
      </c>
    </row>
    <row r="25" spans="1:22" ht="18.899999999999999" customHeight="1" x14ac:dyDescent="0.4">
      <c r="A25" s="95"/>
      <c r="B25" s="232"/>
      <c r="C25" s="232"/>
      <c r="D25" s="232"/>
      <c r="E25" s="233"/>
      <c r="F25" s="234"/>
      <c r="G25" s="100"/>
      <c r="H25" s="159" t="s">
        <v>121</v>
      </c>
      <c r="I25" s="112"/>
      <c r="J25" s="112" t="s">
        <v>133</v>
      </c>
      <c r="K25" s="135">
        <f>E18</f>
        <v>3230.1661201220372</v>
      </c>
      <c r="L25" s="137">
        <f>K25*K18</f>
        <v>96488.651081512056</v>
      </c>
      <c r="M25" s="104"/>
      <c r="N25" s="115"/>
      <c r="O25" s="115"/>
      <c r="Q25" s="236" t="s">
        <v>135</v>
      </c>
      <c r="R25" s="119"/>
      <c r="S25" s="119"/>
      <c r="T25" s="203"/>
      <c r="U25" s="121"/>
    </row>
    <row r="26" spans="1:22" ht="22.5" customHeight="1" x14ac:dyDescent="0.35">
      <c r="A26" s="95"/>
      <c r="B26" s="237"/>
      <c r="C26" s="237"/>
      <c r="D26" s="237"/>
      <c r="E26" s="238"/>
      <c r="F26" s="234"/>
      <c r="G26" s="100"/>
      <c r="H26" s="159" t="s">
        <v>134</v>
      </c>
      <c r="I26" s="112"/>
      <c r="J26" s="112" t="s">
        <v>133</v>
      </c>
      <c r="K26" s="239">
        <f>E19</f>
        <v>1449.5287388963961</v>
      </c>
      <c r="L26" s="137">
        <f>K26*K18</f>
        <v>43299.034018323015</v>
      </c>
      <c r="M26" s="104"/>
      <c r="N26" s="115"/>
      <c r="O26" s="115"/>
      <c r="Q26" s="161" t="s">
        <v>136</v>
      </c>
      <c r="R26" s="119"/>
      <c r="S26" s="119" t="s">
        <v>133</v>
      </c>
      <c r="T26" s="235">
        <v>256</v>
      </c>
      <c r="U26" s="187">
        <f>T26*T18</f>
        <v>7647.0044444444447</v>
      </c>
    </row>
    <row r="27" spans="1:22" ht="18.899999999999999" customHeight="1" x14ac:dyDescent="0.4">
      <c r="A27" s="95"/>
      <c r="B27" s="237"/>
      <c r="C27" s="237"/>
      <c r="D27" s="237"/>
      <c r="E27" s="238"/>
      <c r="F27" s="234"/>
      <c r="G27" s="100"/>
      <c r="H27" s="240" t="s">
        <v>135</v>
      </c>
      <c r="I27" s="112"/>
      <c r="J27" s="112"/>
      <c r="K27" s="198"/>
      <c r="L27" s="114"/>
      <c r="M27" s="104"/>
      <c r="N27" s="115"/>
      <c r="O27" s="115"/>
      <c r="Q27" s="241" t="s">
        <v>137</v>
      </c>
      <c r="R27" s="242"/>
      <c r="S27" s="242"/>
      <c r="T27" s="243"/>
      <c r="U27" s="187">
        <f>SUM(U21:U26)</f>
        <v>2475673.6681024446</v>
      </c>
    </row>
    <row r="28" spans="1:22" ht="18.899999999999999" customHeight="1" x14ac:dyDescent="0.35">
      <c r="A28" s="95"/>
      <c r="B28" s="237"/>
      <c r="C28" s="237"/>
      <c r="D28" s="237"/>
      <c r="E28" s="237"/>
      <c r="F28" s="232"/>
      <c r="G28" s="100"/>
      <c r="H28" s="159" t="s">
        <v>138</v>
      </c>
      <c r="I28" s="112"/>
      <c r="J28" s="112" t="s">
        <v>133</v>
      </c>
      <c r="K28" s="239">
        <f>E20</f>
        <v>255.80929062703919</v>
      </c>
      <c r="L28" s="183">
        <f>K28*K18</f>
        <v>7641.3077435748019</v>
      </c>
      <c r="M28" s="104"/>
      <c r="N28" s="115"/>
      <c r="O28" s="115"/>
      <c r="Q28" s="161"/>
      <c r="R28" s="119"/>
      <c r="S28" s="119"/>
      <c r="T28" s="120"/>
      <c r="U28" s="244"/>
      <c r="V28" s="104"/>
    </row>
    <row r="29" spans="1:22" ht="18.899999999999999" customHeight="1" x14ac:dyDescent="0.4">
      <c r="A29" s="95"/>
      <c r="B29" s="232"/>
      <c r="C29" s="232"/>
      <c r="D29" s="232"/>
      <c r="E29" s="232"/>
      <c r="F29" s="232"/>
      <c r="G29" s="100"/>
      <c r="H29" s="245" t="s">
        <v>137</v>
      </c>
      <c r="I29" s="246"/>
      <c r="J29" s="246"/>
      <c r="K29" s="247"/>
      <c r="L29" s="183" t="e">
        <f>SUM(L21+L22+L23+L25+L26+L28)+L24</f>
        <v>#REF!</v>
      </c>
      <c r="M29" s="104"/>
      <c r="N29" s="126"/>
      <c r="O29" s="126"/>
      <c r="Q29" s="161" t="s">
        <v>139</v>
      </c>
      <c r="R29" s="119"/>
      <c r="S29" s="248">
        <f>'M2020 CHART'!C44</f>
        <v>0.12</v>
      </c>
      <c r="T29" s="120"/>
      <c r="U29" s="142">
        <f>S29*U27</f>
        <v>297080.84017229336</v>
      </c>
    </row>
    <row r="30" spans="1:22" ht="18.899999999999999" customHeight="1" x14ac:dyDescent="0.4">
      <c r="A30" s="95"/>
      <c r="B30" s="104"/>
      <c r="C30" s="104"/>
      <c r="D30" s="104"/>
      <c r="E30" s="104"/>
      <c r="F30" s="104"/>
      <c r="G30" s="100"/>
      <c r="H30" s="159"/>
      <c r="I30" s="112"/>
      <c r="J30" s="112"/>
      <c r="K30" s="113"/>
      <c r="L30" s="249"/>
      <c r="M30" s="104"/>
      <c r="N30" s="115"/>
      <c r="O30" s="115"/>
      <c r="Q30" s="128" t="s">
        <v>140</v>
      </c>
      <c r="R30" s="216"/>
      <c r="S30" s="216"/>
      <c r="T30" s="217"/>
      <c r="U30" s="187">
        <f>SUM(U27:U29)</f>
        <v>2772754.5082747377</v>
      </c>
    </row>
    <row r="31" spans="1:22" ht="20.399999999999999" x14ac:dyDescent="0.35">
      <c r="A31" s="95"/>
      <c r="B31" s="104"/>
      <c r="C31" s="104"/>
      <c r="D31" s="104"/>
      <c r="E31" s="104"/>
      <c r="F31" s="104"/>
      <c r="G31" s="100"/>
      <c r="H31" s="159" t="s">
        <v>139</v>
      </c>
      <c r="I31" s="112"/>
      <c r="J31" s="250">
        <f>$D$21</f>
        <v>0</v>
      </c>
      <c r="K31" s="113"/>
      <c r="L31" s="137" t="e">
        <f>J31*L29</f>
        <v>#REF!</v>
      </c>
      <c r="M31" s="104"/>
      <c r="N31" s="115"/>
      <c r="O31" s="251"/>
      <c r="Q31" s="161"/>
      <c r="R31" s="119"/>
      <c r="S31" s="119"/>
      <c r="T31" s="120"/>
      <c r="U31" s="142"/>
    </row>
    <row r="32" spans="1:22" ht="20.399999999999999" x14ac:dyDescent="0.35">
      <c r="A32" s="95"/>
      <c r="B32" s="232"/>
      <c r="C32" s="232"/>
      <c r="D32" s="104"/>
      <c r="E32" s="104"/>
      <c r="F32" s="104"/>
      <c r="G32" s="100"/>
      <c r="H32" s="159" t="s">
        <v>124</v>
      </c>
      <c r="I32" s="112"/>
      <c r="J32" s="250"/>
      <c r="K32" s="113"/>
      <c r="L32" s="252" t="e">
        <f>L18*J32</f>
        <v>#REF!</v>
      </c>
      <c r="M32" s="104"/>
      <c r="N32" s="115"/>
      <c r="O32" s="115"/>
      <c r="Q32" s="161" t="s">
        <v>141</v>
      </c>
      <c r="R32" s="119"/>
      <c r="S32" s="248" t="s">
        <v>142</v>
      </c>
      <c r="T32" s="253">
        <f>E23</f>
        <v>1.407170954548847E-2</v>
      </c>
      <c r="U32" s="142">
        <f>U30*T32</f>
        <v>39017.396081385814</v>
      </c>
    </row>
    <row r="33" spans="1:22" ht="25.8" x14ac:dyDescent="0.5">
      <c r="A33" s="95"/>
      <c r="B33" s="254"/>
      <c r="C33" s="104"/>
      <c r="D33" s="104"/>
      <c r="E33" s="104"/>
      <c r="F33" s="104"/>
      <c r="G33" s="100"/>
      <c r="H33" s="122" t="s">
        <v>140</v>
      </c>
      <c r="I33" s="213"/>
      <c r="J33" s="213"/>
      <c r="K33" s="214"/>
      <c r="L33" s="183" t="e">
        <f>SUM(L29:L32)</f>
        <v>#REF!</v>
      </c>
      <c r="M33" s="104"/>
      <c r="N33" s="100"/>
      <c r="O33" s="100"/>
      <c r="Q33" s="161"/>
      <c r="R33" s="119"/>
      <c r="S33" s="119"/>
      <c r="T33" s="120"/>
      <c r="U33" s="142"/>
    </row>
    <row r="34" spans="1:22" ht="20.399999999999999" x14ac:dyDescent="0.35">
      <c r="A34" s="95"/>
      <c r="B34" s="104"/>
      <c r="C34" s="104"/>
      <c r="D34" s="104"/>
      <c r="E34" s="104"/>
      <c r="F34" s="104"/>
      <c r="G34" s="100"/>
      <c r="H34" s="159"/>
      <c r="I34" s="112"/>
      <c r="J34" s="112"/>
      <c r="K34" s="113"/>
      <c r="L34" s="137"/>
      <c r="M34" s="104"/>
      <c r="N34" s="115"/>
      <c r="O34" s="115"/>
      <c r="Q34" s="161" t="s">
        <v>143</v>
      </c>
      <c r="R34" s="119"/>
      <c r="S34" s="119"/>
      <c r="T34" s="120"/>
      <c r="U34" s="142">
        <f>SUM(U30+U32)</f>
        <v>2811771.9043561234</v>
      </c>
    </row>
    <row r="35" spans="1:22" ht="20.399999999999999" x14ac:dyDescent="0.35">
      <c r="A35" s="95"/>
      <c r="B35" s="104"/>
      <c r="C35" s="104"/>
      <c r="D35" s="104"/>
      <c r="E35" s="104"/>
      <c r="F35" s="104"/>
      <c r="G35" s="100"/>
      <c r="H35" s="159" t="s">
        <v>141</v>
      </c>
      <c r="I35" s="112"/>
      <c r="J35" s="250" t="s">
        <v>142</v>
      </c>
      <c r="K35" s="255"/>
      <c r="L35" s="137" t="e">
        <f>L33*K35</f>
        <v>#REF!</v>
      </c>
      <c r="M35" s="104"/>
      <c r="N35" s="115"/>
      <c r="O35" s="256"/>
      <c r="Q35" s="161"/>
      <c r="R35" s="119"/>
      <c r="S35" s="119" t="s">
        <v>144</v>
      </c>
      <c r="T35" s="257">
        <f>K38</f>
        <v>1021.4749999999999</v>
      </c>
      <c r="U35" s="258"/>
    </row>
    <row r="36" spans="1:22" ht="20.399999999999999" x14ac:dyDescent="0.35">
      <c r="A36" s="95"/>
      <c r="B36" s="347"/>
      <c r="C36" s="347"/>
      <c r="G36" s="115"/>
      <c r="H36" s="159"/>
      <c r="I36" s="112"/>
      <c r="J36" s="112"/>
      <c r="K36" s="113"/>
      <c r="L36" s="137"/>
      <c r="M36" s="104"/>
      <c r="N36" s="115"/>
      <c r="O36" s="115"/>
      <c r="Q36" s="259"/>
      <c r="R36" s="260"/>
      <c r="S36" s="261" t="s">
        <v>145</v>
      </c>
      <c r="T36" s="262">
        <f>SUM(T8:T15)+SUM(T7)*0.35</f>
        <v>25.417111111111108</v>
      </c>
      <c r="U36" s="263"/>
    </row>
    <row r="37" spans="1:22" ht="21" thickBot="1" x14ac:dyDescent="0.4">
      <c r="A37" s="95"/>
      <c r="B37" s="347"/>
      <c r="C37" s="347"/>
      <c r="G37" s="115"/>
      <c r="H37" s="159" t="s">
        <v>143</v>
      </c>
      <c r="I37" s="112"/>
      <c r="J37" s="112"/>
      <c r="K37" s="113"/>
      <c r="L37" s="137" t="e">
        <f>SUM(L33+L35)</f>
        <v>#REF!</v>
      </c>
      <c r="M37" s="104"/>
      <c r="N37" s="100"/>
      <c r="O37" s="100"/>
      <c r="P37" s="104"/>
      <c r="Q37" s="161"/>
      <c r="R37" s="260"/>
      <c r="S37" s="261" t="s">
        <v>146</v>
      </c>
      <c r="T37" s="264">
        <f>T35*T36</f>
        <v>25962.943572222215</v>
      </c>
      <c r="U37" s="265"/>
    </row>
    <row r="38" spans="1:22" ht="21.6" thickBot="1" x14ac:dyDescent="0.45">
      <c r="A38" s="95"/>
      <c r="B38" s="348" t="s">
        <v>147</v>
      </c>
      <c r="C38" s="348">
        <f>SUM(C7:C10)</f>
        <v>17.25</v>
      </c>
      <c r="G38" s="115"/>
      <c r="H38" s="159"/>
      <c r="I38" s="112"/>
      <c r="J38" s="112" t="s">
        <v>144</v>
      </c>
      <c r="K38" s="266">
        <f>F13</f>
        <v>1021.4749999999999</v>
      </c>
      <c r="L38" s="267"/>
      <c r="N38" s="100"/>
      <c r="O38" s="100"/>
      <c r="P38" s="104"/>
      <c r="Q38" s="268"/>
      <c r="R38" s="269"/>
      <c r="S38" s="270" t="s">
        <v>148</v>
      </c>
      <c r="T38" s="271"/>
      <c r="U38" s="272">
        <f>ROUNDDOWN(U34/(T37),1)</f>
        <v>108.2</v>
      </c>
    </row>
    <row r="39" spans="1:22" ht="21" x14ac:dyDescent="0.4">
      <c r="A39" s="95"/>
      <c r="B39" s="348" t="s">
        <v>149</v>
      </c>
      <c r="C39" s="348">
        <f>40-C38</f>
        <v>22.75</v>
      </c>
      <c r="F39" s="273"/>
      <c r="G39" s="115"/>
      <c r="H39" s="274"/>
      <c r="I39" s="275"/>
      <c r="J39" s="276" t="s">
        <v>145</v>
      </c>
      <c r="K39" s="277">
        <f>SUM(K8:K15)+SUM(K7)*0.35</f>
        <v>25.417111111111108</v>
      </c>
      <c r="L39" s="278"/>
      <c r="N39" s="279"/>
      <c r="O39" s="280"/>
      <c r="Q39" s="281"/>
      <c r="R39" s="282"/>
      <c r="S39" s="282"/>
      <c r="T39" s="283" t="s">
        <v>150</v>
      </c>
      <c r="U39" s="284">
        <f>U38*0.25</f>
        <v>27.05</v>
      </c>
    </row>
    <row r="40" spans="1:22" ht="21.6" thickBot="1" x14ac:dyDescent="0.45">
      <c r="A40" s="95"/>
      <c r="B40" s="348" t="s">
        <v>151</v>
      </c>
      <c r="C40" s="348">
        <v>40</v>
      </c>
      <c r="G40" s="285"/>
      <c r="H40" s="159"/>
      <c r="I40" s="275"/>
      <c r="J40" s="276" t="s">
        <v>146</v>
      </c>
      <c r="K40" s="286">
        <f>K38*K39</f>
        <v>25962.943572222215</v>
      </c>
      <c r="L40" s="287"/>
      <c r="N40" s="279"/>
      <c r="O40" s="280"/>
      <c r="Q40" s="282"/>
      <c r="R40" s="282"/>
      <c r="S40" s="282"/>
      <c r="T40" s="288"/>
      <c r="U40" s="283"/>
    </row>
    <row r="41" spans="1:22" ht="21.6" thickBot="1" x14ac:dyDescent="0.45">
      <c r="A41" s="95"/>
      <c r="B41" s="348" t="s">
        <v>152</v>
      </c>
      <c r="C41" s="349">
        <f>C39/C40</f>
        <v>0.56874999999999998</v>
      </c>
      <c r="G41" s="285"/>
      <c r="H41" s="289"/>
      <c r="I41" s="290"/>
      <c r="J41" s="291" t="s">
        <v>148</v>
      </c>
      <c r="K41" s="292"/>
      <c r="L41" s="293" t="e">
        <f>ROUNDDOWN(L37/(K40),1.05)</f>
        <v>#REF!</v>
      </c>
      <c r="N41" s="294" t="s">
        <v>153</v>
      </c>
      <c r="O41" s="295"/>
      <c r="Q41" s="104"/>
      <c r="R41" s="104"/>
      <c r="S41" s="104"/>
      <c r="T41" s="104"/>
      <c r="U41" s="296"/>
      <c r="V41" s="297"/>
    </row>
    <row r="42" spans="1:22" ht="21" x14ac:dyDescent="0.4">
      <c r="A42" s="95"/>
      <c r="B42" s="347"/>
      <c r="C42" s="347"/>
      <c r="G42" s="285"/>
      <c r="H42" s="298"/>
      <c r="I42" s="298"/>
      <c r="J42" s="299"/>
      <c r="K42" s="300"/>
      <c r="L42" s="301"/>
      <c r="N42" s="104"/>
      <c r="O42" s="302">
        <v>94</v>
      </c>
    </row>
    <row r="43" spans="1:22" ht="21" x14ac:dyDescent="0.4">
      <c r="A43" s="95"/>
      <c r="G43" s="285"/>
      <c r="H43" s="303"/>
      <c r="I43" s="299"/>
      <c r="J43" s="299"/>
      <c r="K43" s="300"/>
      <c r="L43" s="304" t="e">
        <f>L41*0.25</f>
        <v>#REF!</v>
      </c>
      <c r="M43" s="104"/>
      <c r="N43" s="104"/>
      <c r="O43" s="104"/>
    </row>
    <row r="44" spans="1:22" ht="21" x14ac:dyDescent="0.4">
      <c r="A44" s="95"/>
      <c r="G44" s="285"/>
      <c r="H44" s="298"/>
      <c r="I44" s="299"/>
      <c r="J44" s="299"/>
      <c r="K44" s="305"/>
      <c r="L44" s="306" t="s">
        <v>150</v>
      </c>
      <c r="M44" s="104"/>
      <c r="N44" s="104"/>
      <c r="O44" s="307"/>
    </row>
    <row r="45" spans="1:22" x14ac:dyDescent="0.3">
      <c r="A45" s="95"/>
      <c r="G45" s="285"/>
      <c r="I45" s="104"/>
      <c r="J45" s="104"/>
      <c r="K45" s="308"/>
      <c r="L45" s="309"/>
      <c r="M45" s="104"/>
      <c r="O45" s="310"/>
    </row>
    <row r="46" spans="1:22" hidden="1" x14ac:dyDescent="0.3">
      <c r="A46" s="95"/>
      <c r="G46" s="285"/>
      <c r="I46" s="104"/>
      <c r="J46" s="104"/>
      <c r="K46" s="308"/>
      <c r="L46" s="309"/>
      <c r="M46" s="104"/>
      <c r="N46" s="104"/>
      <c r="O46" s="104"/>
    </row>
    <row r="47" spans="1:22" ht="21" hidden="1" x14ac:dyDescent="0.4">
      <c r="A47" s="95"/>
      <c r="G47" s="285"/>
      <c r="I47" s="104"/>
      <c r="J47" s="311"/>
      <c r="K47" s="312"/>
      <c r="L47" s="313"/>
      <c r="M47" s="314"/>
      <c r="N47" s="104"/>
    </row>
    <row r="48" spans="1:22" ht="21" hidden="1" x14ac:dyDescent="0.4">
      <c r="A48" s="95"/>
      <c r="G48" s="285"/>
      <c r="I48" s="104"/>
      <c r="J48" s="315"/>
      <c r="K48" s="316"/>
      <c r="L48" s="317"/>
      <c r="M48" s="318"/>
      <c r="N48" s="104"/>
      <c r="O48" s="319"/>
    </row>
    <row r="49" spans="1:18" ht="21" hidden="1" x14ac:dyDescent="0.4">
      <c r="I49" s="320"/>
      <c r="J49" s="321"/>
      <c r="K49" s="322"/>
      <c r="L49" s="323"/>
      <c r="M49" s="318"/>
      <c r="N49" s="104"/>
      <c r="O49" s="319"/>
    </row>
    <row r="50" spans="1:18" ht="25.5" hidden="1" customHeight="1" thickBot="1" x14ac:dyDescent="0.45">
      <c r="A50" s="95"/>
      <c r="I50" s="320"/>
      <c r="J50" s="324"/>
      <c r="K50" s="325"/>
      <c r="L50" s="326"/>
      <c r="M50" s="318"/>
      <c r="N50" s="104"/>
      <c r="O50" s="104"/>
    </row>
    <row r="51" spans="1:18" ht="21.6" hidden="1" thickBot="1" x14ac:dyDescent="0.45">
      <c r="H51" s="285"/>
      <c r="I51" s="327"/>
      <c r="J51" s="328"/>
      <c r="K51" s="329"/>
      <c r="L51" s="330"/>
      <c r="M51" s="331"/>
      <c r="N51" s="104"/>
      <c r="O51" s="104"/>
    </row>
    <row r="52" spans="1:18" ht="24" hidden="1" customHeight="1" x14ac:dyDescent="0.4">
      <c r="J52" s="332"/>
      <c r="K52" s="322"/>
      <c r="L52" s="333"/>
      <c r="M52" s="334"/>
      <c r="O52" s="104"/>
      <c r="Q52" s="104"/>
    </row>
    <row r="53" spans="1:18" ht="21" hidden="1" x14ac:dyDescent="0.4">
      <c r="I53" s="320"/>
      <c r="J53" s="335"/>
      <c r="K53" s="336"/>
      <c r="L53" s="336"/>
      <c r="M53" s="337"/>
      <c r="Q53" s="104"/>
      <c r="R53" s="104"/>
    </row>
    <row r="54" spans="1:18" ht="30" hidden="1" customHeight="1" x14ac:dyDescent="0.4">
      <c r="I54" s="320"/>
      <c r="J54" s="338"/>
      <c r="K54" s="339"/>
      <c r="L54" s="340"/>
      <c r="M54" s="318"/>
    </row>
    <row r="55" spans="1:18" ht="21" hidden="1" x14ac:dyDescent="0.4">
      <c r="I55" s="320"/>
      <c r="J55" s="341"/>
      <c r="K55" s="322"/>
      <c r="L55" s="342"/>
      <c r="M55" s="318"/>
    </row>
    <row r="56" spans="1:18" ht="21" x14ac:dyDescent="0.4">
      <c r="I56" s="104"/>
      <c r="J56" s="294"/>
      <c r="K56" s="295"/>
      <c r="L56" s="333"/>
      <c r="M56" s="334"/>
      <c r="N56" s="104"/>
      <c r="O56" s="343"/>
    </row>
    <row r="57" spans="1:18" x14ac:dyDescent="0.3">
      <c r="I57" s="104"/>
      <c r="J57" s="104"/>
      <c r="K57" s="308"/>
      <c r="L57" s="309"/>
      <c r="O57" s="273"/>
    </row>
    <row r="58" spans="1:18" ht="25.8" x14ac:dyDescent="0.5">
      <c r="H58" s="81" t="s">
        <v>154</v>
      </c>
      <c r="I58" s="104"/>
      <c r="J58" s="104"/>
      <c r="K58" s="344">
        <v>94</v>
      </c>
      <c r="L58" s="309"/>
    </row>
  </sheetData>
  <mergeCells count="9">
    <mergeCell ref="H3:L3"/>
    <mergeCell ref="Q3:U3"/>
    <mergeCell ref="J53:M53"/>
    <mergeCell ref="B1:F1"/>
    <mergeCell ref="H1:L1"/>
    <mergeCell ref="Q1:U1"/>
    <mergeCell ref="H2:L2"/>
    <mergeCell ref="N2:O2"/>
    <mergeCell ref="Q2:U2"/>
  </mergeCells>
  <pageMargins left="0.25" right="0.25" top="0.75" bottom="0.75" header="0.3" footer="0.3"/>
  <pageSetup scale="47" orientation="landscape" cellComments="asDisplayed" r:id="rId1"/>
  <ignoredErrors>
    <ignoredError sqref="C3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M2020 CHART</vt:lpstr>
      <vt:lpstr>2022Model </vt:lpstr>
      <vt:lpstr>'2022Model 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kara</cp:lastModifiedBy>
  <dcterms:created xsi:type="dcterms:W3CDTF">2021-12-13T13:26:08Z</dcterms:created>
  <dcterms:modified xsi:type="dcterms:W3CDTF">2021-12-13T13:29:24Z</dcterms:modified>
</cp:coreProperties>
</file>