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5277F388-0B3B-482D-9000-1FAB1BA36512}" xr6:coauthVersionLast="47" xr6:coauthVersionMax="47" xr10:uidLastSave="{00000000-0000-0000-0000-000000000000}"/>
  <bookViews>
    <workbookView xWindow="-19200" yWindow="0" windowWidth="19750" windowHeight="10400" tabRatio="805" activeTab="10" xr2:uid="{6D7197E8-958B-41ED-9676-9CC9F1306871}"/>
  </bookViews>
  <sheets>
    <sheet name="M2022 BLS SALARY CHART (53_PCT)" sheetId="6" r:id="rId1"/>
    <sheet name="CAF FALL 2023" sheetId="7" r:id="rId2"/>
    <sheet name="AMSS products" sheetId="15" r:id="rId3"/>
    <sheet name="Support Models " sheetId="14" r:id="rId4"/>
    <sheet name="Acute A &amp; B" sheetId="13" r:id="rId5"/>
    <sheet name="Child Home Based Rehab" sheetId="12" r:id="rId6"/>
    <sheet name="Emerg Homes &amp; Exploited Youth" sheetId="11" r:id="rId7"/>
    <sheet name="Transition to Adulthood" sheetId="10" r:id="rId8"/>
    <sheet name="IFC Family Residential" sheetId="9" r:id="rId9"/>
    <sheet name="IFC &amp; Enhanced FC" sheetId="8" r:id="rId10"/>
    <sheet name="Operational Models" sheetId="1" r:id="rId11"/>
    <sheet name="RDP Add On Model" sheetId="4" r:id="rId12"/>
    <sheet name="Add-Ons" sheetId="3" r:id="rId13"/>
    <sheet name="Stipend" sheetId="2" r:id="rId14"/>
    <sheet name="Rates" sheetId="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Key1" localSheetId="4" hidden="1">#REF!</definedName>
    <definedName name="_Key1" localSheetId="2" hidden="1">#REF!</definedName>
    <definedName name="_Key1" localSheetId="1" hidden="1">#REF!</definedName>
    <definedName name="_Key1" localSheetId="5" hidden="1">#REF!</definedName>
    <definedName name="_Key1" localSheetId="6" hidden="1">#REF!</definedName>
    <definedName name="_Key1" localSheetId="9" hidden="1">#REF!</definedName>
    <definedName name="_Key1" localSheetId="8" hidden="1">#REF!</definedName>
    <definedName name="_Key1" localSheetId="3" hidden="1">#REF!</definedName>
    <definedName name="_Key1" localSheetId="7" hidden="1">#REF!</definedName>
    <definedName name="_Key1" hidden="1">#REF!</definedName>
    <definedName name="_Sort" localSheetId="4" hidden="1">#REF!</definedName>
    <definedName name="_Sort" localSheetId="2" hidden="1">#REF!</definedName>
    <definedName name="_Sort" localSheetId="1" hidden="1">#REF!</definedName>
    <definedName name="_Sort" localSheetId="5" hidden="1">#REF!</definedName>
    <definedName name="_Sort" localSheetId="6" hidden="1">#REF!</definedName>
    <definedName name="_Sort" localSheetId="9" hidden="1">#REF!</definedName>
    <definedName name="_Sort" localSheetId="8" hidden="1">#REF!</definedName>
    <definedName name="_Sort" localSheetId="3" hidden="1">#REF!</definedName>
    <definedName name="_Sort" localSheetId="7" hidden="1">#REF!</definedName>
    <definedName name="_Sort" hidden="1">#REF!</definedName>
    <definedName name="alldata" localSheetId="4">#REF!</definedName>
    <definedName name="alldata" localSheetId="2">#REF!</definedName>
    <definedName name="alldata" localSheetId="1">#REF!</definedName>
    <definedName name="alldata" localSheetId="5">#REF!</definedName>
    <definedName name="alldata" localSheetId="6">#REF!</definedName>
    <definedName name="alldata" localSheetId="9">#REF!</definedName>
    <definedName name="alldata" localSheetId="8">#REF!</definedName>
    <definedName name="alldata" localSheetId="0">#REF!</definedName>
    <definedName name="alldata" localSheetId="3">#REF!</definedName>
    <definedName name="alldata" localSheetId="7">#REF!</definedName>
    <definedName name="alldata">#REF!</definedName>
    <definedName name="alled" localSheetId="1">#REF!</definedName>
    <definedName name="alled" localSheetId="0">#REF!</definedName>
    <definedName name="alled">#REF!</definedName>
    <definedName name="allstem" localSheetId="1">#REF!</definedName>
    <definedName name="allstem" localSheetId="0">#REF!</definedName>
    <definedName name="allstem">#REF!</definedName>
    <definedName name="Area">[1]Sheet2!$A$2:$A$28</definedName>
    <definedName name="ARENEW">[2]amendA!$B$1:$U$51</definedName>
    <definedName name="asdfasd" localSheetId="4">'[3]Complete UFR List'!#REF!</definedName>
    <definedName name="asdfasd" localSheetId="2">'[3]Complete UFR List'!#REF!</definedName>
    <definedName name="asdfasd" localSheetId="1">'[3]Complete UFR List'!#REF!</definedName>
    <definedName name="asdfasd" localSheetId="5">'[3]Complete UFR List'!#REF!</definedName>
    <definedName name="asdfasd" localSheetId="6">'[3]Complete UFR List'!#REF!</definedName>
    <definedName name="asdfasd" localSheetId="9">'[3]Complete UFR List'!#REF!</definedName>
    <definedName name="asdfasd" localSheetId="8">'[3]Complete UFR List'!#REF!</definedName>
    <definedName name="asdfasd" localSheetId="3">'[3]Complete UFR List'!#REF!</definedName>
    <definedName name="asdfasd" localSheetId="7">'[3]Complete UFR List'!#REF!</definedName>
    <definedName name="asdfasd">'[3]Complete UFR List'!#REF!</definedName>
    <definedName name="asdfasdf" localSheetId="4">#REF!</definedName>
    <definedName name="asdfasdf" localSheetId="2">#REF!</definedName>
    <definedName name="asdfasdf" localSheetId="1">#REF!</definedName>
    <definedName name="asdfasdf" localSheetId="5">#REF!</definedName>
    <definedName name="asdfasdf" localSheetId="6">#REF!</definedName>
    <definedName name="asdfasdf" localSheetId="9">#REF!</definedName>
    <definedName name="asdfasdf" localSheetId="8">#REF!</definedName>
    <definedName name="asdfasdf" localSheetId="11">#REF!</definedName>
    <definedName name="asdfasdf" localSheetId="3">#REF!</definedName>
    <definedName name="asdfasdf" localSheetId="7">#REF!</definedName>
    <definedName name="asdfasdf">'[3]Complete UFR List'!#REF!</definedName>
    <definedName name="ATTABOY">[2]amendA!$B$2:$S$2</definedName>
    <definedName name="AutoInsurance">[4]Universal!$C$19</definedName>
    <definedName name="autsupp2" localSheetId="4">#REF!</definedName>
    <definedName name="autsupp2" localSheetId="2">#REF!</definedName>
    <definedName name="autsupp2" localSheetId="1">#REF!</definedName>
    <definedName name="autsupp2" localSheetId="5">#REF!</definedName>
    <definedName name="autsupp2" localSheetId="6">#REF!</definedName>
    <definedName name="autsupp2" localSheetId="9">#REF!</definedName>
    <definedName name="autsupp2" localSheetId="8">#REF!</definedName>
    <definedName name="autsupp2" localSheetId="3">#REF!</definedName>
    <definedName name="autsupp2" localSheetId="7">#REF!</definedName>
    <definedName name="autsupp2">#REF!</definedName>
    <definedName name="Average" localSheetId="4">#REF!</definedName>
    <definedName name="Average" localSheetId="2">#REF!</definedName>
    <definedName name="Average" localSheetId="1">#REF!</definedName>
    <definedName name="Average" localSheetId="5">#REF!</definedName>
    <definedName name="Average" localSheetId="6">#REF!</definedName>
    <definedName name="Average" localSheetId="9">#REF!</definedName>
    <definedName name="Average" localSheetId="8">#REF!</definedName>
    <definedName name="Average" localSheetId="11">#REF!</definedName>
    <definedName name="Average" localSheetId="3">#REF!</definedName>
    <definedName name="Average" localSheetId="7">#REF!</definedName>
    <definedName name="Average">#REF!</definedName>
    <definedName name="BB6_4" localSheetId="4">#REF!</definedName>
    <definedName name="BB6_4" localSheetId="2">#REF!</definedName>
    <definedName name="BB6_4" localSheetId="1">#REF!</definedName>
    <definedName name="BB6_4" localSheetId="5">#REF!</definedName>
    <definedName name="BB6_4" localSheetId="6">#REF!</definedName>
    <definedName name="BB6_4" localSheetId="9">#REF!</definedName>
    <definedName name="BB6_4" localSheetId="8">#REF!</definedName>
    <definedName name="BB6_4" localSheetId="3">#REF!</definedName>
    <definedName name="BB6_4" localSheetId="7">#REF!</definedName>
    <definedName name="BB6_4">#REF!</definedName>
    <definedName name="Break" localSheetId="11">'[5]Tech Stuff'!$E$4</definedName>
    <definedName name="Break">'[6]Tech Stuff'!$E$4</definedName>
    <definedName name="CAF_NEW" localSheetId="4">[7]RawDataCalcs!$L$70:$DB$70</definedName>
    <definedName name="CAF_NEW" localSheetId="2">[7]RawDataCalcs!$L$70:$DB$70</definedName>
    <definedName name="CAF_NEW" localSheetId="1">[7]RawDataCalcs!$L$70:$DB$70</definedName>
    <definedName name="CAF_NEW" localSheetId="5">[7]RawDataCalcs!$L$70:$DB$70</definedName>
    <definedName name="CAF_NEW" localSheetId="6">[7]RawDataCalcs!$L$70:$DB$70</definedName>
    <definedName name="CAF_NEW" localSheetId="9">[7]RawDataCalcs!$L$70:$DB$70</definedName>
    <definedName name="CAF_NEW" localSheetId="8">[7]RawDataCalcs!$L$70:$DB$70</definedName>
    <definedName name="CAF_NEW" localSheetId="3">[7]RawDataCalcs!$L$70:$DB$70</definedName>
    <definedName name="CAF_NEW" localSheetId="7">[7]RawDataCalcs!$L$70:$DB$70</definedName>
    <definedName name="CAF_NEW">[8]RawDataCalcs!$L$70:$DB$70</definedName>
    <definedName name="Cap" localSheetId="4">'[9]RawDataCalcs3386&amp;3401'!$L$66:$DB$66</definedName>
    <definedName name="Cap" localSheetId="2">'[9]RawDataCalcs3386&amp;3401'!$L$66:$DB$66</definedName>
    <definedName name="Cap" localSheetId="1">[10]RawDataCalcs!$L$13:$DB$13</definedName>
    <definedName name="Cap" localSheetId="5">'[9]RawDataCalcs3386&amp;3401'!$L$66:$DB$66</definedName>
    <definedName name="Cap" localSheetId="6">'[9]RawDataCalcs3386&amp;3401'!$L$66:$DB$66</definedName>
    <definedName name="Cap" localSheetId="9">'[9]RawDataCalcs3386&amp;3401'!$L$66:$DB$66</definedName>
    <definedName name="Cap" localSheetId="8">'[9]RawDataCalcs3386&amp;3401'!$L$66:$DB$66</definedName>
    <definedName name="Cap" localSheetId="0">[11]RawDataCalcs!$L$35:$DB$35</definedName>
    <definedName name="Cap" localSheetId="11">[12]RawDataCalcs!$L$13:$DB$13</definedName>
    <definedName name="Cap" localSheetId="3">'[9]RawDataCalcs3386&amp;3401'!$L$66:$DB$66</definedName>
    <definedName name="Cap" localSheetId="7">'[9]RawDataCalcs3386&amp;3401'!$L$66:$DB$66</definedName>
    <definedName name="Cap">[13]RawDataCalcs!$L$17:$DB$17</definedName>
    <definedName name="capa">[13]RawDataCalcs!$L$17:$DB$17</definedName>
    <definedName name="COLA">[4]Universal!$C$12</definedName>
    <definedName name="Data" localSheetId="4">#REF!</definedName>
    <definedName name="Data" localSheetId="2">#REF!</definedName>
    <definedName name="Data" localSheetId="1">#REF!</definedName>
    <definedName name="Data" localSheetId="5">#REF!</definedName>
    <definedName name="Data" localSheetId="6">#REF!</definedName>
    <definedName name="Data" localSheetId="9">#REF!</definedName>
    <definedName name="Data" localSheetId="8">#REF!</definedName>
    <definedName name="Data" localSheetId="11">#REF!</definedName>
    <definedName name="Data" localSheetId="3">#REF!</definedName>
    <definedName name="Data" localSheetId="7">#REF!</definedName>
    <definedName name="Data">#REF!</definedName>
    <definedName name="Electricity">[4]Universal!$C$21</definedName>
    <definedName name="Fisc" localSheetId="4">'[3]Complete UFR List'!#REF!</definedName>
    <definedName name="Fisc" localSheetId="2">'[3]Complete UFR List'!#REF!</definedName>
    <definedName name="Fisc" localSheetId="1">'[3]Complete UFR List'!#REF!</definedName>
    <definedName name="Fisc" localSheetId="5">'[3]Complete UFR List'!#REF!</definedName>
    <definedName name="Fisc" localSheetId="6">'[3]Complete UFR List'!#REF!</definedName>
    <definedName name="Fisc" localSheetId="9">'[3]Complete UFR List'!#REF!</definedName>
    <definedName name="Fisc" localSheetId="8">'[3]Complete UFR List'!#REF!</definedName>
    <definedName name="Fisc" localSheetId="3">'[3]Complete UFR List'!#REF!</definedName>
    <definedName name="Fisc" localSheetId="7">'[3]Complete UFR List'!#REF!</definedName>
    <definedName name="Fisc">'[3]Complete UFR List'!#REF!</definedName>
    <definedName name="FiveDay">[4]Universal!$C$17</definedName>
    <definedName name="Floor" localSheetId="4">'[9]RawDataCalcs3386&amp;3401'!$L$65:$DB$65</definedName>
    <definedName name="Floor" localSheetId="2">'[9]RawDataCalcs3386&amp;3401'!$L$65:$DB$65</definedName>
    <definedName name="Floor" localSheetId="1">[10]RawDataCalcs!$L$12:$DB$12</definedName>
    <definedName name="Floor" localSheetId="5">'[9]RawDataCalcs3386&amp;3401'!$L$65:$DB$65</definedName>
    <definedName name="Floor" localSheetId="6">'[9]RawDataCalcs3386&amp;3401'!$L$65:$DB$65</definedName>
    <definedName name="Floor" localSheetId="9">'[9]RawDataCalcs3386&amp;3401'!$L$65:$DB$65</definedName>
    <definedName name="Floor" localSheetId="8">'[9]RawDataCalcs3386&amp;3401'!$L$65:$DB$65</definedName>
    <definedName name="Floor" localSheetId="0">[11]RawDataCalcs!$L$34:$DB$34</definedName>
    <definedName name="Floor" localSheetId="11">[12]RawDataCalcs!$L$12:$DB$12</definedName>
    <definedName name="Floor" localSheetId="3">'[9]RawDataCalcs3386&amp;3401'!$L$65:$DB$65</definedName>
    <definedName name="Floor" localSheetId="7">'[9]RawDataCalcs3386&amp;3401'!$L$65:$DB$65</definedName>
    <definedName name="Floor">[13]RawDataCalcs!$L$16:$DB$16</definedName>
    <definedName name="Fringe">[4]Universal!$C$8</definedName>
    <definedName name="FROM">[2]amendA!$G$7</definedName>
    <definedName name="Funds" localSheetId="4">'[14]RawDataCalcs3386&amp;3401'!$L$68:$DB$68</definedName>
    <definedName name="Funds" localSheetId="2">'[14]RawDataCalcs3386&amp;3401'!$L$68:$DB$68</definedName>
    <definedName name="Funds" localSheetId="1">'[14]RawDataCalcs3386&amp;3401'!$L$68:$DB$68</definedName>
    <definedName name="Funds" localSheetId="5">'[14]RawDataCalcs3386&amp;3401'!$L$68:$DB$68</definedName>
    <definedName name="Funds" localSheetId="6">'[14]RawDataCalcs3386&amp;3401'!$L$68:$DB$68</definedName>
    <definedName name="Funds" localSheetId="9">'[14]RawDataCalcs3386&amp;3401'!$L$68:$DB$68</definedName>
    <definedName name="Funds" localSheetId="8">'[14]RawDataCalcs3386&amp;3401'!$L$68:$DB$68</definedName>
    <definedName name="Funds" localSheetId="3">'[14]RawDataCalcs3386&amp;3401'!$L$68:$DB$68</definedName>
    <definedName name="Funds" localSheetId="7">'[14]RawDataCalcs3386&amp;3401'!$L$68:$DB$68</definedName>
    <definedName name="Funds">'[15]RawDataCalcs3386&amp;3401'!$L$68:$DB$68</definedName>
    <definedName name="GA">[4]Universal!$C$13</definedName>
    <definedName name="Gas">[4]Universal!$C$22</definedName>
    <definedName name="gk" localSheetId="4">#REF!</definedName>
    <definedName name="gk" localSheetId="2">#REF!</definedName>
    <definedName name="gk" localSheetId="1">#REF!</definedName>
    <definedName name="gk" localSheetId="5">#REF!</definedName>
    <definedName name="gk" localSheetId="6">#REF!</definedName>
    <definedName name="gk" localSheetId="9">#REF!</definedName>
    <definedName name="gk" localSheetId="8">#REF!</definedName>
    <definedName name="gk" localSheetId="11">#REF!</definedName>
    <definedName name="gk" localSheetId="3">#REF!</definedName>
    <definedName name="gk" localSheetId="7">#REF!</definedName>
    <definedName name="gk">#REF!</definedName>
    <definedName name="hhh" localSheetId="4">#REF!</definedName>
    <definedName name="hhh" localSheetId="2">#REF!</definedName>
    <definedName name="hhh" localSheetId="1">#REF!</definedName>
    <definedName name="hhh" localSheetId="5">#REF!</definedName>
    <definedName name="hhh" localSheetId="6">#REF!</definedName>
    <definedName name="hhh" localSheetId="9">#REF!</definedName>
    <definedName name="hhh" localSheetId="8">#REF!</definedName>
    <definedName name="hhh" localSheetId="11">#REF!</definedName>
    <definedName name="hhh" localSheetId="3">#REF!</definedName>
    <definedName name="hhh" localSheetId="7">#REF!</definedName>
    <definedName name="hhh">#REF!</definedName>
    <definedName name="Holidays">[4]Universal!$C$49:$C$59</definedName>
    <definedName name="JailDAverage" localSheetId="4">#REF!</definedName>
    <definedName name="JailDAverage" localSheetId="2">#REF!</definedName>
    <definedName name="JailDAverage" localSheetId="1">#REF!</definedName>
    <definedName name="JailDAverage" localSheetId="5">#REF!</definedName>
    <definedName name="JailDAverage" localSheetId="6">#REF!</definedName>
    <definedName name="JailDAverage" localSheetId="9">#REF!</definedName>
    <definedName name="JailDAverage" localSheetId="8">#REF!</definedName>
    <definedName name="JailDAverage" localSheetId="11">#REF!</definedName>
    <definedName name="JailDAverage" localSheetId="3">#REF!</definedName>
    <definedName name="JailDAverage" localSheetId="7">#REF!</definedName>
    <definedName name="JailDAverage">#REF!</definedName>
    <definedName name="JailDCap" localSheetId="4">[16]ALLRawDataCalcs!$L$80:$DB$80</definedName>
    <definedName name="JailDCap" localSheetId="2">[16]ALLRawDataCalcs!$L$80:$DB$80</definedName>
    <definedName name="JailDCap" localSheetId="1">[16]ALLRawDataCalcs!$L$80:$DB$80</definedName>
    <definedName name="JailDCap" localSheetId="5">[16]ALLRawDataCalcs!$L$80:$DB$80</definedName>
    <definedName name="JailDCap" localSheetId="6">[16]ALLRawDataCalcs!$L$80:$DB$80</definedName>
    <definedName name="JailDCap" localSheetId="9">[16]ALLRawDataCalcs!$L$80:$DB$80</definedName>
    <definedName name="JailDCap" localSheetId="8">[16]ALLRawDataCalcs!$L$80:$DB$80</definedName>
    <definedName name="JailDCap" localSheetId="3">[16]ALLRawDataCalcs!$L$80:$DB$80</definedName>
    <definedName name="JailDCap" localSheetId="7">[16]ALLRawDataCalcs!$L$80:$DB$80</definedName>
    <definedName name="JailDCap">[17]ALLRawDataCalcs!$L$80:$DB$80</definedName>
    <definedName name="JailDFloor" localSheetId="4">[16]ALLRawDataCalcs!$L$79:$DB$79</definedName>
    <definedName name="JailDFloor" localSheetId="2">[16]ALLRawDataCalcs!$L$79:$DB$79</definedName>
    <definedName name="JailDFloor" localSheetId="1">[16]ALLRawDataCalcs!$L$79:$DB$79</definedName>
    <definedName name="JailDFloor" localSheetId="5">[16]ALLRawDataCalcs!$L$79:$DB$79</definedName>
    <definedName name="JailDFloor" localSheetId="6">[16]ALLRawDataCalcs!$L$79:$DB$79</definedName>
    <definedName name="JailDFloor" localSheetId="9">[16]ALLRawDataCalcs!$L$79:$DB$79</definedName>
    <definedName name="JailDFloor" localSheetId="8">[16]ALLRawDataCalcs!$L$79:$DB$79</definedName>
    <definedName name="JailDFloor" localSheetId="3">[16]ALLRawDataCalcs!$L$79:$DB$79</definedName>
    <definedName name="JailDFloor" localSheetId="7">[16]ALLRawDataCalcs!$L$79:$DB$79</definedName>
    <definedName name="JailDFloor">[17]ALLRawDataCalcs!$L$79:$DB$79</definedName>
    <definedName name="JailDgk" localSheetId="4">#REF!</definedName>
    <definedName name="JailDgk" localSheetId="2">#REF!</definedName>
    <definedName name="JailDgk" localSheetId="1">#REF!</definedName>
    <definedName name="JailDgk" localSheetId="5">#REF!</definedName>
    <definedName name="JailDgk" localSheetId="6">#REF!</definedName>
    <definedName name="JailDgk" localSheetId="9">#REF!</definedName>
    <definedName name="JailDgk" localSheetId="8">#REF!</definedName>
    <definedName name="JailDgk" localSheetId="11">#REF!</definedName>
    <definedName name="JailDgk" localSheetId="3">#REF!</definedName>
    <definedName name="JailDgk" localSheetId="7">#REF!</definedName>
    <definedName name="JailDgk">#REF!</definedName>
    <definedName name="JailDMax" localSheetId="4">#REF!</definedName>
    <definedName name="JailDMax" localSheetId="2">#REF!</definedName>
    <definedName name="JailDMax" localSheetId="1">#REF!</definedName>
    <definedName name="JailDMax" localSheetId="5">#REF!</definedName>
    <definedName name="JailDMax" localSheetId="6">#REF!</definedName>
    <definedName name="JailDMax" localSheetId="9">#REF!</definedName>
    <definedName name="JailDMax" localSheetId="8">#REF!</definedName>
    <definedName name="JailDMax" localSheetId="11">#REF!</definedName>
    <definedName name="JailDMax" localSheetId="3">#REF!</definedName>
    <definedName name="JailDMax" localSheetId="7">#REF!</definedName>
    <definedName name="JailDMax">#REF!</definedName>
    <definedName name="JailDMedian" localSheetId="4">#REF!</definedName>
    <definedName name="JailDMedian" localSheetId="2">#REF!</definedName>
    <definedName name="JailDMedian" localSheetId="1">#REF!</definedName>
    <definedName name="JailDMedian" localSheetId="5">#REF!</definedName>
    <definedName name="JailDMedian" localSheetId="6">#REF!</definedName>
    <definedName name="JailDMedian" localSheetId="9">#REF!</definedName>
    <definedName name="JailDMedian" localSheetId="8">#REF!</definedName>
    <definedName name="JailDMedian" localSheetId="11">#REF!</definedName>
    <definedName name="JailDMedian" localSheetId="3">#REF!</definedName>
    <definedName name="JailDMedian" localSheetId="7">#REF!</definedName>
    <definedName name="JailDMedian">#REF!</definedName>
    <definedName name="jm" localSheetId="4">'[3]Complete UFR List'!#REF!</definedName>
    <definedName name="jm" localSheetId="2">'[3]Complete UFR List'!#REF!</definedName>
    <definedName name="jm" localSheetId="1">'[3]Complete UFR List'!#REF!</definedName>
    <definedName name="jm" localSheetId="5">'[3]Complete UFR List'!#REF!</definedName>
    <definedName name="jm" localSheetId="6">'[3]Complete UFR List'!#REF!</definedName>
    <definedName name="jm" localSheetId="9">'[3]Complete UFR List'!#REF!</definedName>
    <definedName name="jm" localSheetId="8">'[3]Complete UFR List'!#REF!</definedName>
    <definedName name="jm" localSheetId="3">'[3]Complete UFR List'!#REF!</definedName>
    <definedName name="jm" localSheetId="7">'[3]Complete UFR List'!#REF!</definedName>
    <definedName name="jm">'[3]Complete UFR List'!#REF!</definedName>
    <definedName name="kls" localSheetId="4">#REF!</definedName>
    <definedName name="kls" localSheetId="2">#REF!</definedName>
    <definedName name="kls" localSheetId="1">#REF!</definedName>
    <definedName name="kls" localSheetId="5">#REF!</definedName>
    <definedName name="kls" localSheetId="6">#REF!</definedName>
    <definedName name="kls" localSheetId="9">#REF!</definedName>
    <definedName name="kls" localSheetId="8">#REF!</definedName>
    <definedName name="kls" localSheetId="11">#REF!</definedName>
    <definedName name="kls" localSheetId="3">#REF!</definedName>
    <definedName name="kls" localSheetId="7">#REF!</definedName>
    <definedName name="kls">#REF!</definedName>
    <definedName name="ListProviders">'[18]List of Programs'!$A$24:$A$29</definedName>
    <definedName name="Max" localSheetId="4">#REF!</definedName>
    <definedName name="Max" localSheetId="2">#REF!</definedName>
    <definedName name="Max" localSheetId="1">#REF!</definedName>
    <definedName name="Max" localSheetId="5">#REF!</definedName>
    <definedName name="Max" localSheetId="6">#REF!</definedName>
    <definedName name="Max" localSheetId="9">#REF!</definedName>
    <definedName name="Max" localSheetId="8">#REF!</definedName>
    <definedName name="Max" localSheetId="11">#REF!</definedName>
    <definedName name="Max" localSheetId="3">#REF!</definedName>
    <definedName name="Max" localSheetId="7">#REF!</definedName>
    <definedName name="Max">#REF!</definedName>
    <definedName name="Median" localSheetId="4">#REF!</definedName>
    <definedName name="Median" localSheetId="2">#REF!</definedName>
    <definedName name="Median" localSheetId="1">#REF!</definedName>
    <definedName name="Median" localSheetId="5">#REF!</definedName>
    <definedName name="Median" localSheetId="6">#REF!</definedName>
    <definedName name="Median" localSheetId="9">#REF!</definedName>
    <definedName name="Median" localSheetId="8">#REF!</definedName>
    <definedName name="Median" localSheetId="11">#REF!</definedName>
    <definedName name="Median" localSheetId="3">#REF!</definedName>
    <definedName name="Median" localSheetId="7">#REF!</definedName>
    <definedName name="Median">#REF!</definedName>
    <definedName name="Min" localSheetId="4">#REF!</definedName>
    <definedName name="Min" localSheetId="2">#REF!</definedName>
    <definedName name="Min" localSheetId="1">#REF!</definedName>
    <definedName name="Min" localSheetId="5">#REF!</definedName>
    <definedName name="Min" localSheetId="6">#REF!</definedName>
    <definedName name="Min" localSheetId="9">#REF!</definedName>
    <definedName name="Min" localSheetId="8">#REF!</definedName>
    <definedName name="Min" localSheetId="11">#REF!</definedName>
    <definedName name="Min" localSheetId="3">#REF!</definedName>
    <definedName name="Min" localSheetId="7">#REF!</definedName>
    <definedName name="Min">#REF!</definedName>
    <definedName name="mr" localSheetId="1">#REF!</definedName>
    <definedName name="mr">#REF!</definedName>
    <definedName name="MT" localSheetId="1">#REF!</definedName>
    <definedName name="MT" localSheetId="11">#REF!</definedName>
    <definedName name="MT">#REF!</definedName>
    <definedName name="new" localSheetId="1">#REF!</definedName>
    <definedName name="new" localSheetId="11">#REF!</definedName>
    <definedName name="new">#REF!</definedName>
    <definedName name="Oil">[4]Universal!$C$23</definedName>
    <definedName name="ok" localSheetId="4">#REF!</definedName>
    <definedName name="ok" localSheetId="2">#REF!</definedName>
    <definedName name="ok" localSheetId="1">#REF!</definedName>
    <definedName name="ok" localSheetId="5">#REF!</definedName>
    <definedName name="ok" localSheetId="6">#REF!</definedName>
    <definedName name="ok" localSheetId="9">#REF!</definedName>
    <definedName name="ok" localSheetId="8">#REF!</definedName>
    <definedName name="ok" localSheetId="11">#REF!</definedName>
    <definedName name="ok" localSheetId="3">#REF!</definedName>
    <definedName name="ok" localSheetId="7">#REF!</definedName>
    <definedName name="ok">#REF!</definedName>
    <definedName name="Paydays">[4]Universal!$C$33:$N$33</definedName>
    <definedName name="Phone">[4]Universal!$C$25</definedName>
    <definedName name="PivotData">#REF!</definedName>
    <definedName name="_xlnm.Print_Area" localSheetId="0">'M2022 BLS SALARY CHART (53_PCT)'!$B$1:$E$46</definedName>
    <definedName name="_xlnm.Print_Titles" localSheetId="1">'CAF FALL 2023'!$A:$A</definedName>
    <definedName name="Program_File" localSheetId="4">#REF!</definedName>
    <definedName name="Program_File" localSheetId="2">#REF!</definedName>
    <definedName name="Program_File" localSheetId="1">#REF!</definedName>
    <definedName name="Program_File" localSheetId="5">#REF!</definedName>
    <definedName name="Program_File" localSheetId="6">#REF!</definedName>
    <definedName name="Program_File" localSheetId="9">#REF!</definedName>
    <definedName name="Program_File" localSheetId="8">#REF!</definedName>
    <definedName name="Program_File" localSheetId="11">#REF!</definedName>
    <definedName name="Program_File" localSheetId="3">#REF!</definedName>
    <definedName name="Program_File" localSheetId="7">#REF!</definedName>
    <definedName name="Program_File">#REF!</definedName>
    <definedName name="Programs">'[18]List of Programs'!$B$3:$B$19</definedName>
    <definedName name="PropInsurance">[4]Universal!$C$20</definedName>
    <definedName name="ProvFTE">'[19]FTE Data'!$A$3:$AW$56</definedName>
    <definedName name="PTO_Hours">[4]Universal!$F$72:$F$78</definedName>
    <definedName name="PTO_Years">[4]Universal!$B$72:$B$78</definedName>
    <definedName name="PurchasedBy">'[19]FTE Data'!$C$263:$AZ$657</definedName>
    <definedName name="REGION">[1]Sheet2!$B$1:$B$5</definedName>
    <definedName name="Relief">[4]Universal!$C$14</definedName>
    <definedName name="resmay2007" localSheetId="4">#REF!</definedName>
    <definedName name="resmay2007" localSheetId="2">#REF!</definedName>
    <definedName name="resmay2007" localSheetId="1">#REF!</definedName>
    <definedName name="resmay2007" localSheetId="5">#REF!</definedName>
    <definedName name="resmay2007" localSheetId="6">#REF!</definedName>
    <definedName name="resmay2007" localSheetId="9">#REF!</definedName>
    <definedName name="resmay2007" localSheetId="8">#REF!</definedName>
    <definedName name="resmay2007" localSheetId="11">#REF!</definedName>
    <definedName name="resmay2007" localSheetId="3">#REF!</definedName>
    <definedName name="resmay2007" localSheetId="7">#REF!</definedName>
    <definedName name="resmay2007">#REF!</definedName>
    <definedName name="SevenDay">[4]Universal!$C$18</definedName>
    <definedName name="sheet1" localSheetId="4">#REF!</definedName>
    <definedName name="sheet1" localSheetId="2">#REF!</definedName>
    <definedName name="sheet1" localSheetId="1">#REF!</definedName>
    <definedName name="sheet1" localSheetId="5">#REF!</definedName>
    <definedName name="sheet1" localSheetId="6">#REF!</definedName>
    <definedName name="sheet1" localSheetId="9">#REF!</definedName>
    <definedName name="sheet1" localSheetId="8">#REF!</definedName>
    <definedName name="sheet1" localSheetId="0">#REF!</definedName>
    <definedName name="sheet1" localSheetId="3">#REF!</definedName>
    <definedName name="sheet1" localSheetId="7">#REF!</definedName>
    <definedName name="sheet1">#REF!</definedName>
    <definedName name="Site_list">[19]Lists!$A$2:$A$53</definedName>
    <definedName name="Source" localSheetId="4">#REF!</definedName>
    <definedName name="Source" localSheetId="2">#REF!</definedName>
    <definedName name="Source" localSheetId="1">#REF!</definedName>
    <definedName name="Source" localSheetId="5">#REF!</definedName>
    <definedName name="Source" localSheetId="6">#REF!</definedName>
    <definedName name="Source" localSheetId="9">#REF!</definedName>
    <definedName name="Source" localSheetId="8">#REF!</definedName>
    <definedName name="Source" localSheetId="11">#REF!</definedName>
    <definedName name="Source" localSheetId="3">#REF!</definedName>
    <definedName name="Source" localSheetId="7">#REF!</definedName>
    <definedName name="Source">#REF!</definedName>
    <definedName name="Source_2" localSheetId="4">#REF!</definedName>
    <definedName name="Source_2" localSheetId="2">#REF!</definedName>
    <definedName name="Source_2" localSheetId="1">#REF!</definedName>
    <definedName name="Source_2" localSheetId="5">#REF!</definedName>
    <definedName name="Source_2" localSheetId="6">#REF!</definedName>
    <definedName name="Source_2" localSheetId="9">#REF!</definedName>
    <definedName name="Source_2" localSheetId="8">#REF!</definedName>
    <definedName name="Source_2" localSheetId="11">#REF!</definedName>
    <definedName name="Source_2" localSheetId="3">#REF!</definedName>
    <definedName name="Source_2" localSheetId="7">#REF!</definedName>
    <definedName name="Source_2">#REF!</definedName>
    <definedName name="SourcePathAndFileName" localSheetId="4">#REF!</definedName>
    <definedName name="SourcePathAndFileName" localSheetId="2">#REF!</definedName>
    <definedName name="SourcePathAndFileName" localSheetId="1">#REF!</definedName>
    <definedName name="SourcePathAndFileName" localSheetId="5">#REF!</definedName>
    <definedName name="SourcePathAndFileName" localSheetId="6">#REF!</definedName>
    <definedName name="SourcePathAndFileName" localSheetId="9">#REF!</definedName>
    <definedName name="SourcePathAndFileName" localSheetId="8">#REF!</definedName>
    <definedName name="SourcePathAndFileName" localSheetId="11">#REF!</definedName>
    <definedName name="SourcePathAndFileName" localSheetId="3">#REF!</definedName>
    <definedName name="SourcePathAndFileName" localSheetId="7">#REF!</definedName>
    <definedName name="SourcePathAndFileName">#REF!</definedName>
    <definedName name="StaffApp">[4]Universal!$C$11</definedName>
    <definedName name="Tax">[4]Universal!$C$7</definedName>
    <definedName name="tblScheduleB_RevExpSalNRTogether">#REF!</definedName>
    <definedName name="TO">[2]amendA!$K$7:$O$7</definedName>
    <definedName name="Total_UFR" localSheetId="4">#REF!</definedName>
    <definedName name="Total_UFR" localSheetId="2">#REF!</definedName>
    <definedName name="Total_UFR" localSheetId="1">#REF!</definedName>
    <definedName name="Total_UFR" localSheetId="5">#REF!</definedName>
    <definedName name="Total_UFR" localSheetId="6">#REF!</definedName>
    <definedName name="Total_UFR" localSheetId="9">#REF!</definedName>
    <definedName name="Total_UFR" localSheetId="8">#REF!</definedName>
    <definedName name="Total_UFR" localSheetId="11">#REF!</definedName>
    <definedName name="Total_UFR" localSheetId="3">#REF!</definedName>
    <definedName name="Total_UFR" localSheetId="7">#REF!</definedName>
    <definedName name="Total_UFR">#REF!</definedName>
    <definedName name="Total_UFRs" localSheetId="4">#REF!</definedName>
    <definedName name="Total_UFRs" localSheetId="2">#REF!</definedName>
    <definedName name="Total_UFRs" localSheetId="1">#REF!</definedName>
    <definedName name="Total_UFRs" localSheetId="5">#REF!</definedName>
    <definedName name="Total_UFRs" localSheetId="6">#REF!</definedName>
    <definedName name="Total_UFRs" localSheetId="9">#REF!</definedName>
    <definedName name="Total_UFRs" localSheetId="8">#REF!</definedName>
    <definedName name="Total_UFRs" localSheetId="11">#REF!</definedName>
    <definedName name="Total_UFRs" localSheetId="3">#REF!</definedName>
    <definedName name="Total_UFRs" localSheetId="7">#REF!</definedName>
    <definedName name="Total_UFRs">#REF!</definedName>
    <definedName name="Total_UFRs_" localSheetId="4">#REF!</definedName>
    <definedName name="Total_UFRs_" localSheetId="2">#REF!</definedName>
    <definedName name="Total_UFRs_" localSheetId="1">#REF!</definedName>
    <definedName name="Total_UFRs_" localSheetId="5">#REF!</definedName>
    <definedName name="Total_UFRs_" localSheetId="6">#REF!</definedName>
    <definedName name="Total_UFRs_" localSheetId="9">#REF!</definedName>
    <definedName name="Total_UFRs_" localSheetId="8">#REF!</definedName>
    <definedName name="Total_UFRs_" localSheetId="11">#REF!</definedName>
    <definedName name="Total_UFRs_" localSheetId="3">#REF!</definedName>
    <definedName name="Total_UFRs_" localSheetId="7">#REF!</definedName>
    <definedName name="Total_UFRs_">#REF!</definedName>
    <definedName name="TotalDays">[4]Universal!$C$30:$N$30</definedName>
    <definedName name="UFR" localSheetId="4">'[3]Complete UFR List'!#REF!</definedName>
    <definedName name="UFR" localSheetId="2">'[3]Complete UFR List'!#REF!</definedName>
    <definedName name="UFR" localSheetId="1">'[3]Complete UFR List'!#REF!</definedName>
    <definedName name="UFR" localSheetId="5">'[3]Complete UFR List'!#REF!</definedName>
    <definedName name="UFR" localSheetId="6">'[3]Complete UFR List'!#REF!</definedName>
    <definedName name="UFR" localSheetId="9">'[3]Complete UFR List'!#REF!</definedName>
    <definedName name="UFR" localSheetId="8">'[3]Complete UFR List'!#REF!</definedName>
    <definedName name="UFR" localSheetId="11">'[3]Complete UFR List'!#REF!</definedName>
    <definedName name="UFR" localSheetId="3">'[3]Complete UFR List'!#REF!</definedName>
    <definedName name="UFR" localSheetId="7">'[3]Complete UFR List'!#REF!</definedName>
    <definedName name="UFR">'[3]Complete UFR List'!#REF!</definedName>
    <definedName name="UFRS" localSheetId="4">'[3]Complete UFR List'!#REF!</definedName>
    <definedName name="UFRS" localSheetId="2">'[3]Complete UFR List'!#REF!</definedName>
    <definedName name="UFRS" localSheetId="1">'[3]Complete UFR List'!#REF!</definedName>
    <definedName name="UFRS" localSheetId="5">'[3]Complete UFR List'!#REF!</definedName>
    <definedName name="UFRS" localSheetId="6">'[3]Complete UFR List'!#REF!</definedName>
    <definedName name="UFRS" localSheetId="9">'[3]Complete UFR List'!#REF!</definedName>
    <definedName name="UFRS" localSheetId="8">'[3]Complete UFR List'!#REF!</definedName>
    <definedName name="UFRS" localSheetId="3">'[3]Complete UFR List'!#REF!</definedName>
    <definedName name="UFRS" localSheetId="7">'[3]Complete UFR List'!#REF!</definedName>
    <definedName name="UFRS">'[3]Complete UFR List'!#REF!</definedName>
    <definedName name="UPDATE" localSheetId="4">'[3]Complete UFR List'!#REF!</definedName>
    <definedName name="UPDATE" localSheetId="2">'[3]Complete UFR List'!#REF!</definedName>
    <definedName name="UPDATE" localSheetId="1">'[3]Complete UFR List'!#REF!</definedName>
    <definedName name="UPDATE" localSheetId="5">'[3]Complete UFR List'!#REF!</definedName>
    <definedName name="UPDATE" localSheetId="6">'[3]Complete UFR List'!#REF!</definedName>
    <definedName name="UPDATE" localSheetId="9">'[3]Complete UFR List'!#REF!</definedName>
    <definedName name="UPDATE" localSheetId="8">'[3]Complete UFR List'!#REF!</definedName>
    <definedName name="UPDATE" localSheetId="3">'[3]Complete UFR List'!#REF!</definedName>
    <definedName name="UPDATE" localSheetId="7">'[3]Complete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4">'[3]Complete UFR List'!#REF!</definedName>
    <definedName name="wefqwerqwe" localSheetId="2">'[3]Complete UFR List'!#REF!</definedName>
    <definedName name="wefqwerqwe" localSheetId="1">'[3]Complete UFR List'!#REF!</definedName>
    <definedName name="wefqwerqwe" localSheetId="5">'[3]Complete UFR List'!#REF!</definedName>
    <definedName name="wefqwerqwe" localSheetId="6">'[3]Complete UFR List'!#REF!</definedName>
    <definedName name="wefqwerqwe" localSheetId="9">'[3]Complete UFR List'!#REF!</definedName>
    <definedName name="wefqwerqwe" localSheetId="8">'[3]Complete UFR List'!#REF!</definedName>
    <definedName name="wefqwerqwe" localSheetId="3">'[3]Complete UFR List'!#REF!</definedName>
    <definedName name="wefqwerqwe" localSheetId="7">'[3]Complete UFR List'!#REF!</definedName>
    <definedName name="wefqwerqwe">'[3]Complete UFR List'!#REF!</definedName>
    <definedName name="yes" localSheetId="4">'[3]Complete UFR List'!#REF!</definedName>
    <definedName name="yes" localSheetId="2">'[3]Complete UFR List'!#REF!</definedName>
    <definedName name="yes" localSheetId="1">'[3]Complete UFR List'!#REF!</definedName>
    <definedName name="yes" localSheetId="5">'[3]Complete UFR List'!#REF!</definedName>
    <definedName name="yes" localSheetId="6">'[3]Complete UFR List'!#REF!</definedName>
    <definedName name="yes" localSheetId="9">'[3]Complete UFR List'!#REF!</definedName>
    <definedName name="yes" localSheetId="8">'[3]Complete UFR List'!#REF!</definedName>
    <definedName name="yes" localSheetId="3">'[3]Complete UFR List'!#REF!</definedName>
    <definedName name="yes" localSheetId="7">'[3]Complete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 l="1"/>
  <c r="D57" i="15" l="1"/>
  <c r="C57" i="15"/>
  <c r="D56" i="15"/>
  <c r="C56" i="15"/>
  <c r="E56" i="15" s="1"/>
  <c r="G56" i="15" s="1"/>
  <c r="C55" i="15"/>
  <c r="D54" i="15"/>
  <c r="C54" i="15"/>
  <c r="D53" i="15"/>
  <c r="C53" i="15"/>
  <c r="E53" i="15" s="1"/>
  <c r="G53" i="15" s="1"/>
  <c r="D52" i="15"/>
  <c r="C52" i="15"/>
  <c r="C51" i="15"/>
  <c r="D50" i="15"/>
  <c r="C50" i="15"/>
  <c r="D49" i="15"/>
  <c r="C49" i="15"/>
  <c r="E49" i="15" s="1"/>
  <c r="G49" i="15" s="1"/>
  <c r="D48" i="15"/>
  <c r="C48" i="15"/>
  <c r="C47" i="15"/>
  <c r="D46" i="15"/>
  <c r="C46" i="15"/>
  <c r="D45" i="15"/>
  <c r="C45" i="15"/>
  <c r="E45" i="15" s="1"/>
  <c r="G45" i="15" s="1"/>
  <c r="C44" i="15"/>
  <c r="D43" i="15"/>
  <c r="C43" i="15"/>
  <c r="D42" i="15"/>
  <c r="C42" i="15"/>
  <c r="D41" i="15"/>
  <c r="C41" i="15"/>
  <c r="E41" i="15" s="1"/>
  <c r="G41" i="15" s="1"/>
  <c r="D40" i="15"/>
  <c r="C40" i="15"/>
  <c r="D39" i="15"/>
  <c r="C39" i="15"/>
  <c r="D38" i="15"/>
  <c r="C38" i="15"/>
  <c r="D37" i="15"/>
  <c r="C37" i="15"/>
  <c r="E37" i="15" s="1"/>
  <c r="G37" i="15" s="1"/>
  <c r="D36" i="15"/>
  <c r="C36" i="15"/>
  <c r="D35" i="15"/>
  <c r="C35" i="15"/>
  <c r="D34" i="15"/>
  <c r="C34" i="15"/>
  <c r="C33" i="15"/>
  <c r="D32" i="15"/>
  <c r="C32" i="15"/>
  <c r="D31" i="15"/>
  <c r="C31" i="15"/>
  <c r="D30" i="15"/>
  <c r="C30" i="15"/>
  <c r="D29" i="15"/>
  <c r="C29" i="15"/>
  <c r="E29" i="15" s="1"/>
  <c r="G29" i="15" s="1"/>
  <c r="C28" i="15"/>
  <c r="D27" i="15"/>
  <c r="C27" i="15"/>
  <c r="D26" i="15"/>
  <c r="C26" i="15"/>
  <c r="E26" i="15" s="1"/>
  <c r="G26" i="15" s="1"/>
  <c r="D25" i="15"/>
  <c r="C25" i="15"/>
  <c r="E25" i="15" s="1"/>
  <c r="G25" i="15" s="1"/>
  <c r="C24" i="15"/>
  <c r="D23" i="15"/>
  <c r="C23" i="15"/>
  <c r="D22" i="15"/>
  <c r="C22" i="15"/>
  <c r="E22" i="15" s="1"/>
  <c r="G22" i="15" s="1"/>
  <c r="D21" i="15"/>
  <c r="C21" i="15"/>
  <c r="C20" i="15"/>
  <c r="D19" i="15"/>
  <c r="C19" i="15"/>
  <c r="D18" i="15"/>
  <c r="C18" i="15"/>
  <c r="F17" i="15"/>
  <c r="D17" i="15"/>
  <c r="C17" i="15"/>
  <c r="C16" i="15"/>
  <c r="D15" i="15"/>
  <c r="C15" i="15"/>
  <c r="D14" i="15"/>
  <c r="C14" i="15"/>
  <c r="D13" i="15"/>
  <c r="C13" i="15"/>
  <c r="C12" i="15"/>
  <c r="D11" i="15"/>
  <c r="C11" i="15"/>
  <c r="D10" i="15"/>
  <c r="C10" i="15"/>
  <c r="E10" i="15" s="1"/>
  <c r="G10" i="15" s="1"/>
  <c r="F9" i="15"/>
  <c r="D9" i="15"/>
  <c r="C9" i="15"/>
  <c r="E9" i="15" s="1"/>
  <c r="G9" i="15" s="1"/>
  <c r="D8" i="15"/>
  <c r="C8" i="15"/>
  <c r="C7" i="15"/>
  <c r="D6" i="15"/>
  <c r="C6" i="15"/>
  <c r="E6" i="15" s="1"/>
  <c r="G6" i="15" s="1"/>
  <c r="F5" i="15"/>
  <c r="D5" i="15"/>
  <c r="C5" i="15"/>
  <c r="E5" i="15" s="1"/>
  <c r="G5" i="15" s="1"/>
  <c r="G2" i="15"/>
  <c r="F38" i="15" s="1"/>
  <c r="R31" i="14"/>
  <c r="T31" i="14" s="1"/>
  <c r="T30" i="14"/>
  <c r="R29" i="14"/>
  <c r="T29" i="14" s="1"/>
  <c r="H24" i="14"/>
  <c r="C21" i="14"/>
  <c r="M26" i="14" s="1"/>
  <c r="T20" i="14"/>
  <c r="C20" i="14"/>
  <c r="Q19" i="14"/>
  <c r="C19" i="14"/>
  <c r="G18" i="14"/>
  <c r="L18" i="14" s="1"/>
  <c r="Q18" i="14" s="1"/>
  <c r="AA17" i="14"/>
  <c r="V17" i="14"/>
  <c r="G17" i="14"/>
  <c r="C16" i="14"/>
  <c r="AD18" i="14" s="1"/>
  <c r="C15" i="14"/>
  <c r="I14" i="14"/>
  <c r="S14" i="14" s="1"/>
  <c r="AC13" i="14"/>
  <c r="X13" i="14"/>
  <c r="S13" i="14"/>
  <c r="N13" i="14"/>
  <c r="I13" i="14"/>
  <c r="C12" i="14"/>
  <c r="T21" i="14" s="1"/>
  <c r="L10" i="14"/>
  <c r="H10" i="14"/>
  <c r="AB12" i="14" s="1"/>
  <c r="AD12" i="14" s="1"/>
  <c r="C10" i="14"/>
  <c r="O20" i="14" s="1"/>
  <c r="O21" i="14" s="1"/>
  <c r="L9" i="14"/>
  <c r="H9" i="14"/>
  <c r="M9" i="14" s="1"/>
  <c r="AB8" i="14"/>
  <c r="AD8" i="14" s="1"/>
  <c r="L8" i="14"/>
  <c r="H8" i="14"/>
  <c r="M8" i="14" s="1"/>
  <c r="O8" i="14" s="1"/>
  <c r="AB7" i="14"/>
  <c r="AD7" i="14" s="1"/>
  <c r="V7" i="14"/>
  <c r="L7" i="14"/>
  <c r="H7" i="14"/>
  <c r="M7" i="14" s="1"/>
  <c r="W6" i="14"/>
  <c r="Y6" i="14" s="1"/>
  <c r="R6" i="14"/>
  <c r="W7" i="14" s="1"/>
  <c r="Y7" i="14" s="1"/>
  <c r="L6" i="14"/>
  <c r="H6" i="14"/>
  <c r="M6" i="14" s="1"/>
  <c r="L5" i="14"/>
  <c r="H5" i="14"/>
  <c r="M5" i="14" s="1"/>
  <c r="M27" i="13"/>
  <c r="H27" i="13"/>
  <c r="I25" i="13"/>
  <c r="N25" i="13" s="1"/>
  <c r="D23" i="13"/>
  <c r="N26" i="13" s="1"/>
  <c r="E22" i="13"/>
  <c r="L19" i="13"/>
  <c r="G18" i="13"/>
  <c r="N11" i="13"/>
  <c r="I11" i="13"/>
  <c r="D9" i="13"/>
  <c r="C9" i="13"/>
  <c r="H10" i="13" s="1"/>
  <c r="M10" i="13" s="1"/>
  <c r="O10" i="13" s="1"/>
  <c r="D8" i="13"/>
  <c r="C8" i="13"/>
  <c r="H8" i="13" s="1"/>
  <c r="M8" i="13" s="1"/>
  <c r="O8" i="13" s="1"/>
  <c r="D7" i="13"/>
  <c r="C7" i="13"/>
  <c r="H7" i="13" s="1"/>
  <c r="D6" i="13"/>
  <c r="C6" i="13"/>
  <c r="H6" i="13" s="1"/>
  <c r="D5" i="13"/>
  <c r="C5" i="13"/>
  <c r="H5" i="13" s="1"/>
  <c r="J5" i="13" s="1"/>
  <c r="D4" i="13"/>
  <c r="C4" i="13"/>
  <c r="H9" i="13" s="1"/>
  <c r="H26" i="12"/>
  <c r="I24" i="12"/>
  <c r="C23" i="12"/>
  <c r="I25" i="12" s="1"/>
  <c r="I26" i="12" s="1"/>
  <c r="J26" i="12" s="1"/>
  <c r="D22" i="12"/>
  <c r="C21" i="12"/>
  <c r="I15" i="12" s="1"/>
  <c r="J15" i="12" s="1"/>
  <c r="C20" i="12"/>
  <c r="C19" i="12"/>
  <c r="I12" i="12" s="1"/>
  <c r="G18" i="12"/>
  <c r="I14" i="12"/>
  <c r="I11" i="12"/>
  <c r="C9" i="12"/>
  <c r="H10" i="12" s="1"/>
  <c r="J10" i="12" s="1"/>
  <c r="C8" i="12"/>
  <c r="H9" i="12" s="1"/>
  <c r="J9" i="12" s="1"/>
  <c r="C7" i="12"/>
  <c r="H8" i="12" s="1"/>
  <c r="J8" i="12" s="1"/>
  <c r="C6" i="12"/>
  <c r="H7" i="12" s="1"/>
  <c r="J7" i="12" s="1"/>
  <c r="C5" i="12"/>
  <c r="H6" i="12" s="1"/>
  <c r="J6" i="12" s="1"/>
  <c r="C4" i="12"/>
  <c r="H5" i="12" s="1"/>
  <c r="J5" i="12" s="1"/>
  <c r="M26" i="11"/>
  <c r="H26" i="11"/>
  <c r="I24" i="11"/>
  <c r="N24" i="11" s="1"/>
  <c r="D23" i="11"/>
  <c r="I17" i="11" s="1"/>
  <c r="N18" i="11" s="1"/>
  <c r="D21" i="11"/>
  <c r="I15" i="11" s="1"/>
  <c r="J15" i="11" s="1"/>
  <c r="D20" i="11"/>
  <c r="I14" i="11" s="1"/>
  <c r="N15" i="11" s="1"/>
  <c r="D19" i="11"/>
  <c r="I11" i="11" s="1"/>
  <c r="G17" i="11"/>
  <c r="L18" i="11" s="1"/>
  <c r="N11" i="11"/>
  <c r="I10" i="11"/>
  <c r="C8" i="11"/>
  <c r="H9" i="11" s="1"/>
  <c r="C7" i="11"/>
  <c r="H8" i="11" s="1"/>
  <c r="C6" i="11"/>
  <c r="H7" i="11" s="1"/>
  <c r="C5" i="11"/>
  <c r="H6" i="11" s="1"/>
  <c r="M6" i="11" s="1"/>
  <c r="O6" i="11" s="1"/>
  <c r="C4" i="11"/>
  <c r="H5" i="11" s="1"/>
  <c r="L27" i="10"/>
  <c r="G27" i="10"/>
  <c r="C27" i="10"/>
  <c r="M26" i="10"/>
  <c r="H26" i="10"/>
  <c r="C26" i="10"/>
  <c r="H17" i="10" s="1"/>
  <c r="I17" i="10" s="1"/>
  <c r="L25" i="10"/>
  <c r="H25" i="10"/>
  <c r="H27" i="10" s="1"/>
  <c r="I27" i="10" s="1"/>
  <c r="C25" i="10"/>
  <c r="H18" i="10" s="1"/>
  <c r="A25" i="10"/>
  <c r="F18" i="10" s="1"/>
  <c r="C24" i="10"/>
  <c r="H16" i="10" s="1"/>
  <c r="M14" i="10" s="1"/>
  <c r="C23" i="10"/>
  <c r="H14" i="10" s="1"/>
  <c r="H20" i="10"/>
  <c r="M17" i="10" s="1"/>
  <c r="F20" i="10"/>
  <c r="K17" i="10" s="1"/>
  <c r="H13" i="10"/>
  <c r="M11" i="10"/>
  <c r="B11" i="10"/>
  <c r="G12" i="10" s="1"/>
  <c r="I12" i="10" s="1"/>
  <c r="B10" i="10"/>
  <c r="G11" i="10" s="1"/>
  <c r="I11" i="10" s="1"/>
  <c r="B9" i="10"/>
  <c r="G10" i="10" s="1"/>
  <c r="B8" i="10"/>
  <c r="G9" i="10" s="1"/>
  <c r="L8" i="10" s="1"/>
  <c r="N8" i="10" s="1"/>
  <c r="B7" i="10"/>
  <c r="G8" i="10" s="1"/>
  <c r="B6" i="10"/>
  <c r="G7" i="10" s="1"/>
  <c r="I7" i="10" s="1"/>
  <c r="B5" i="10"/>
  <c r="G6" i="10" s="1"/>
  <c r="B4" i="10"/>
  <c r="G5" i="10" s="1"/>
  <c r="C26" i="9"/>
  <c r="H18" i="9" s="1"/>
  <c r="C21" i="9"/>
  <c r="I20" i="9"/>
  <c r="C20" i="9"/>
  <c r="I14" i="9" s="1"/>
  <c r="C19" i="9"/>
  <c r="H13" i="9" s="1"/>
  <c r="C18" i="9"/>
  <c r="H10" i="9" s="1"/>
  <c r="I15" i="9"/>
  <c r="H12" i="9"/>
  <c r="F12" i="9"/>
  <c r="H9" i="9"/>
  <c r="D7" i="9"/>
  <c r="D6" i="9"/>
  <c r="D5" i="9"/>
  <c r="D4" i="9"/>
  <c r="D3" i="9"/>
  <c r="H44" i="8"/>
  <c r="H45" i="8" s="1"/>
  <c r="M41" i="8"/>
  <c r="N41" i="8" s="1"/>
  <c r="K41" i="8"/>
  <c r="I38" i="8"/>
  <c r="J38" i="8" s="1"/>
  <c r="F38" i="8"/>
  <c r="L36" i="8"/>
  <c r="I31" i="8"/>
  <c r="J31" i="8" s="1"/>
  <c r="M25" i="8"/>
  <c r="N25" i="8" s="1"/>
  <c r="I25" i="8"/>
  <c r="M34" i="8" s="1"/>
  <c r="N34" i="8" s="1"/>
  <c r="N21" i="8"/>
  <c r="I21" i="8"/>
  <c r="H19" i="8"/>
  <c r="M19" i="8" s="1"/>
  <c r="C15" i="8"/>
  <c r="I32" i="8" s="1"/>
  <c r="M14" i="8"/>
  <c r="K14" i="8"/>
  <c r="H14" i="8"/>
  <c r="F14" i="8"/>
  <c r="C13" i="8"/>
  <c r="M17" i="8" s="1"/>
  <c r="N17" i="8" s="1"/>
  <c r="C12" i="8"/>
  <c r="N15" i="8" s="1"/>
  <c r="C11" i="8"/>
  <c r="M10" i="8"/>
  <c r="H10" i="8"/>
  <c r="C10" i="8"/>
  <c r="H12" i="8" s="1"/>
  <c r="B8" i="8"/>
  <c r="G9" i="8" s="1"/>
  <c r="L9" i="8" s="1"/>
  <c r="N9" i="8" s="1"/>
  <c r="B7" i="8"/>
  <c r="G8" i="8" s="1"/>
  <c r="B6" i="8"/>
  <c r="G7" i="8" s="1"/>
  <c r="B5" i="8"/>
  <c r="G6" i="8" s="1"/>
  <c r="B4" i="8"/>
  <c r="G5" i="8" s="1"/>
  <c r="CP28" i="7"/>
  <c r="CO28" i="7"/>
  <c r="CN28" i="7"/>
  <c r="CM28" i="7"/>
  <c r="CL28" i="7"/>
  <c r="CK28" i="7"/>
  <c r="CJ28" i="7"/>
  <c r="CI28" i="7"/>
  <c r="CR28" i="7" s="1"/>
  <c r="CR30" i="7" s="1"/>
  <c r="CR23" i="7"/>
  <c r="CI23" i="7"/>
  <c r="C52" i="6"/>
  <c r="C51" i="6"/>
  <c r="C50" i="6"/>
  <c r="C46" i="6"/>
  <c r="K36" i="6"/>
  <c r="K37" i="6" s="1"/>
  <c r="K38" i="6" s="1"/>
  <c r="K35" i="6"/>
  <c r="K34" i="6"/>
  <c r="K33" i="6"/>
  <c r="C33" i="6"/>
  <c r="C34" i="6" s="1"/>
  <c r="C31" i="6"/>
  <c r="C32" i="6" s="1"/>
  <c r="C29" i="6"/>
  <c r="C30" i="6" s="1"/>
  <c r="C28" i="6"/>
  <c r="C27" i="6"/>
  <c r="C25" i="6"/>
  <c r="C26" i="6" s="1"/>
  <c r="C23" i="6"/>
  <c r="C24" i="6" s="1"/>
  <c r="C21" i="6"/>
  <c r="C22" i="6" s="1"/>
  <c r="B7" i="9" s="1"/>
  <c r="C20" i="6"/>
  <c r="C19" i="6"/>
  <c r="C17" i="6"/>
  <c r="C18" i="6" s="1"/>
  <c r="C15" i="6"/>
  <c r="C16" i="6" s="1"/>
  <c r="C13" i="6"/>
  <c r="C14" i="6" s="1"/>
  <c r="B5" i="9" s="1"/>
  <c r="C12" i="6"/>
  <c r="B3" i="9" s="1"/>
  <c r="C11" i="6"/>
  <c r="C10" i="6"/>
  <c r="C9" i="6"/>
  <c r="C7" i="6"/>
  <c r="C8" i="6" s="1"/>
  <c r="B4" i="9" s="1"/>
  <c r="C6" i="6"/>
  <c r="C36" i="6" s="1"/>
  <c r="E43" i="5"/>
  <c r="F43" i="5" s="1"/>
  <c r="E42" i="5"/>
  <c r="F42" i="5" s="1"/>
  <c r="F41" i="5"/>
  <c r="E41" i="5"/>
  <c r="E40" i="5"/>
  <c r="F40" i="5" s="1"/>
  <c r="E39" i="5"/>
  <c r="F39" i="5" s="1"/>
  <c r="E38" i="5"/>
  <c r="F38" i="5" s="1"/>
  <c r="F37" i="5"/>
  <c r="E37" i="5"/>
  <c r="F36" i="5"/>
  <c r="E36" i="5"/>
  <c r="F35" i="5"/>
  <c r="E35" i="5"/>
  <c r="E34" i="5"/>
  <c r="F34" i="5" s="1"/>
  <c r="F33" i="5"/>
  <c r="E33" i="5"/>
  <c r="F32" i="5"/>
  <c r="E32" i="5"/>
  <c r="F31" i="5"/>
  <c r="E31" i="5"/>
  <c r="E30" i="5"/>
  <c r="F30" i="5" s="1"/>
  <c r="F29" i="5"/>
  <c r="E29" i="5"/>
  <c r="F28" i="5"/>
  <c r="E28" i="5"/>
  <c r="F27" i="5"/>
  <c r="E27" i="5"/>
  <c r="E26" i="5"/>
  <c r="F26" i="5" s="1"/>
  <c r="E25" i="5"/>
  <c r="F25" i="5" s="1"/>
  <c r="E24" i="5"/>
  <c r="F24" i="5" s="1"/>
  <c r="E23" i="5"/>
  <c r="F23" i="5" s="1"/>
  <c r="E22" i="5"/>
  <c r="F22" i="5" s="1"/>
  <c r="E21" i="5"/>
  <c r="F21" i="5" s="1"/>
  <c r="E20" i="5"/>
  <c r="F20" i="5" s="1"/>
  <c r="E19" i="5"/>
  <c r="F19" i="5" s="1"/>
  <c r="E18" i="5"/>
  <c r="F18" i="5" s="1"/>
  <c r="E17" i="5"/>
  <c r="F17" i="5" s="1"/>
  <c r="E16" i="5"/>
  <c r="F16" i="5" s="1"/>
  <c r="E15" i="5"/>
  <c r="F15" i="5" s="1"/>
  <c r="E14" i="5"/>
  <c r="F14" i="5" s="1"/>
  <c r="E13" i="5"/>
  <c r="F13" i="5" s="1"/>
  <c r="E12" i="5"/>
  <c r="F12" i="5" s="1"/>
  <c r="E11" i="5"/>
  <c r="F11" i="5" s="1"/>
  <c r="E10" i="5"/>
  <c r="F10" i="5" s="1"/>
  <c r="E9" i="5"/>
  <c r="F9" i="5" s="1"/>
  <c r="E8" i="5"/>
  <c r="F8" i="5" s="1"/>
  <c r="E7" i="5"/>
  <c r="F7" i="5" s="1"/>
  <c r="E6" i="5"/>
  <c r="F6" i="5" s="1"/>
  <c r="E5" i="5"/>
  <c r="F5" i="5" s="1"/>
  <c r="E4" i="5"/>
  <c r="F4" i="5" s="1"/>
  <c r="E3" i="5"/>
  <c r="F3" i="5" s="1"/>
  <c r="D39" i="4"/>
  <c r="D38" i="4"/>
  <c r="D27" i="4"/>
  <c r="F27" i="4" s="1"/>
  <c r="D26" i="4"/>
  <c r="F26" i="4" s="1"/>
  <c r="D25" i="4"/>
  <c r="F25" i="4" s="1"/>
  <c r="D24" i="4"/>
  <c r="D23" i="4"/>
  <c r="D22" i="4"/>
  <c r="D17" i="4"/>
  <c r="E15" i="4"/>
  <c r="E24" i="4" s="1"/>
  <c r="D14" i="4"/>
  <c r="D13" i="4"/>
  <c r="F13" i="4" s="1"/>
  <c r="D12" i="4"/>
  <c r="F12" i="4" s="1"/>
  <c r="D11" i="4"/>
  <c r="F11" i="4" s="1"/>
  <c r="D10" i="4"/>
  <c r="F10" i="4" s="1"/>
  <c r="D9" i="4"/>
  <c r="F9" i="4" s="1"/>
  <c r="D8" i="4"/>
  <c r="F8" i="4" s="1"/>
  <c r="D7" i="4"/>
  <c r="F7" i="4" s="1"/>
  <c r="D6" i="4"/>
  <c r="F6" i="4" s="1"/>
  <c r="D5" i="4"/>
  <c r="F5" i="4" s="1"/>
  <c r="K23" i="3"/>
  <c r="E23" i="3"/>
  <c r="K22" i="3"/>
  <c r="K24" i="3" s="1"/>
  <c r="K25" i="3" s="1"/>
  <c r="E22" i="3"/>
  <c r="E24" i="3" s="1"/>
  <c r="E25" i="3" s="1"/>
  <c r="C12" i="3" s="1"/>
  <c r="G9" i="3"/>
  <c r="F9" i="3"/>
  <c r="E9" i="3"/>
  <c r="D9" i="3"/>
  <c r="C9" i="3"/>
  <c r="G7" i="3"/>
  <c r="F7" i="3"/>
  <c r="E7" i="3"/>
  <c r="D7" i="3"/>
  <c r="C7" i="3"/>
  <c r="G4" i="3"/>
  <c r="F4" i="3"/>
  <c r="E4" i="3"/>
  <c r="D4" i="3"/>
  <c r="C4" i="3"/>
  <c r="G3" i="3"/>
  <c r="F3" i="3"/>
  <c r="E3" i="3"/>
  <c r="D3" i="3"/>
  <c r="C3" i="3"/>
  <c r="F28" i="2"/>
  <c r="E28" i="2"/>
  <c r="C28" i="2"/>
  <c r="F27" i="2"/>
  <c r="E27" i="2"/>
  <c r="C27" i="2"/>
  <c r="F26" i="2"/>
  <c r="E26" i="2"/>
  <c r="C26" i="2"/>
  <c r="F25" i="2"/>
  <c r="E25" i="2"/>
  <c r="C25" i="2"/>
  <c r="F24" i="2"/>
  <c r="E24" i="2"/>
  <c r="C24" i="2"/>
  <c r="F23" i="2"/>
  <c r="E23" i="2"/>
  <c r="G23" i="2" s="1"/>
  <c r="C23" i="2"/>
  <c r="F22" i="2"/>
  <c r="E22" i="2"/>
  <c r="C22" i="2"/>
  <c r="F21" i="2"/>
  <c r="E21" i="2"/>
  <c r="C21" i="2"/>
  <c r="F20" i="2"/>
  <c r="E20" i="2"/>
  <c r="C20" i="2"/>
  <c r="F19" i="2"/>
  <c r="E19" i="2"/>
  <c r="C19" i="2"/>
  <c r="F18" i="2"/>
  <c r="E18" i="2"/>
  <c r="C18" i="2"/>
  <c r="F17" i="2"/>
  <c r="E17" i="2"/>
  <c r="C17" i="2"/>
  <c r="F16" i="2"/>
  <c r="E16" i="2"/>
  <c r="C16" i="2"/>
  <c r="F15" i="2"/>
  <c r="E15" i="2"/>
  <c r="C15" i="2"/>
  <c r="F14" i="2"/>
  <c r="E14" i="2"/>
  <c r="C14" i="2"/>
  <c r="F13" i="2"/>
  <c r="E13" i="2"/>
  <c r="C13" i="2"/>
  <c r="F12" i="2"/>
  <c r="E12" i="2"/>
  <c r="C12" i="2"/>
  <c r="F11" i="2"/>
  <c r="E11" i="2"/>
  <c r="C11" i="2"/>
  <c r="F10" i="2"/>
  <c r="E10" i="2"/>
  <c r="C10" i="2"/>
  <c r="F9" i="2"/>
  <c r="E9" i="2"/>
  <c r="C9" i="2"/>
  <c r="F8" i="2"/>
  <c r="E8" i="2"/>
  <c r="C8" i="2"/>
  <c r="C7" i="2"/>
  <c r="C6" i="2"/>
  <c r="C5" i="2"/>
  <c r="C4" i="2"/>
  <c r="O62" i="1"/>
  <c r="I62" i="1"/>
  <c r="C62" i="1"/>
  <c r="P62" i="1" s="1"/>
  <c r="O57" i="1"/>
  <c r="P57" i="1" s="1"/>
  <c r="I57" i="1"/>
  <c r="J57" i="1" s="1"/>
  <c r="C57" i="1"/>
  <c r="D57" i="1" s="1"/>
  <c r="O53" i="1"/>
  <c r="P53" i="1" s="1"/>
  <c r="Q53" i="1" s="1"/>
  <c r="R53" i="1" s="1"/>
  <c r="I53" i="1"/>
  <c r="J53" i="1" s="1"/>
  <c r="K53" i="1" s="1"/>
  <c r="L53" i="1" s="1"/>
  <c r="C53" i="1"/>
  <c r="D53" i="1" s="1"/>
  <c r="O52" i="1"/>
  <c r="P52" i="1" s="1"/>
  <c r="I52" i="1"/>
  <c r="J52" i="1" s="1"/>
  <c r="C52" i="1"/>
  <c r="D52" i="1" s="1"/>
  <c r="O51" i="1"/>
  <c r="P51" i="1" s="1"/>
  <c r="I51" i="1"/>
  <c r="J51" i="1" s="1"/>
  <c r="C51" i="1"/>
  <c r="D51" i="1" s="1"/>
  <c r="O44" i="1"/>
  <c r="I44" i="1"/>
  <c r="O43" i="1"/>
  <c r="Q43" i="1" s="1"/>
  <c r="I43" i="1"/>
  <c r="K43" i="1" s="1"/>
  <c r="C43" i="1"/>
  <c r="E43" i="1" s="1"/>
  <c r="O42" i="1"/>
  <c r="Q42" i="1" s="1"/>
  <c r="I42" i="1"/>
  <c r="K42" i="1" s="1"/>
  <c r="C42" i="1"/>
  <c r="E42" i="1" s="1"/>
  <c r="O41" i="1"/>
  <c r="Q41" i="1" s="1"/>
  <c r="I41" i="1"/>
  <c r="K41" i="1" s="1"/>
  <c r="C41" i="1"/>
  <c r="E41" i="1" s="1"/>
  <c r="O40" i="1"/>
  <c r="Q40" i="1" s="1"/>
  <c r="I40" i="1"/>
  <c r="K40" i="1" s="1"/>
  <c r="C40" i="1"/>
  <c r="E40" i="1" s="1"/>
  <c r="O39" i="1"/>
  <c r="Q39" i="1" s="1"/>
  <c r="I39" i="1"/>
  <c r="K39" i="1" s="1"/>
  <c r="C39" i="1"/>
  <c r="E39" i="1" s="1"/>
  <c r="O38" i="1"/>
  <c r="Q38" i="1" s="1"/>
  <c r="I38" i="1"/>
  <c r="K38" i="1" s="1"/>
  <c r="C38" i="1"/>
  <c r="E38" i="1" s="1"/>
  <c r="O37" i="1"/>
  <c r="Q37" i="1" s="1"/>
  <c r="I37" i="1"/>
  <c r="K37" i="1" s="1"/>
  <c r="C37" i="1"/>
  <c r="E37" i="1" s="1"/>
  <c r="O36" i="1"/>
  <c r="Q36" i="1" s="1"/>
  <c r="R36" i="1" s="1"/>
  <c r="I36" i="1"/>
  <c r="K36" i="1" s="1"/>
  <c r="L36" i="1" s="1"/>
  <c r="C36" i="1"/>
  <c r="E36" i="1" s="1"/>
  <c r="F36" i="1" s="1"/>
  <c r="O35" i="1"/>
  <c r="Q35" i="1" s="1"/>
  <c r="R35" i="1" s="1"/>
  <c r="I35" i="1"/>
  <c r="K35" i="1" s="1"/>
  <c r="L35" i="1" s="1"/>
  <c r="C35" i="1"/>
  <c r="E35" i="1" s="1"/>
  <c r="F35" i="1" s="1"/>
  <c r="O34" i="1"/>
  <c r="Q34" i="1" s="1"/>
  <c r="R34" i="1" s="1"/>
  <c r="I34" i="1"/>
  <c r="K34" i="1" s="1"/>
  <c r="L34" i="1" s="1"/>
  <c r="C34" i="1"/>
  <c r="E34" i="1" s="1"/>
  <c r="F34" i="1" s="1"/>
  <c r="O33" i="1"/>
  <c r="Q33" i="1" s="1"/>
  <c r="I33" i="1"/>
  <c r="K33" i="1" s="1"/>
  <c r="C33" i="1"/>
  <c r="E33" i="1" s="1"/>
  <c r="O32" i="1"/>
  <c r="Q32" i="1" s="1"/>
  <c r="I32" i="1"/>
  <c r="K32" i="1" s="1"/>
  <c r="C32" i="1"/>
  <c r="E32" i="1" s="1"/>
  <c r="O31" i="1"/>
  <c r="Q31" i="1" s="1"/>
  <c r="R31" i="1" s="1"/>
  <c r="I31" i="1"/>
  <c r="K31" i="1" s="1"/>
  <c r="L31" i="1" s="1"/>
  <c r="C31" i="1"/>
  <c r="E31" i="1" s="1"/>
  <c r="F31" i="1" s="1"/>
  <c r="O30" i="1"/>
  <c r="Q30" i="1" s="1"/>
  <c r="I30" i="1"/>
  <c r="K30" i="1" s="1"/>
  <c r="C30" i="1"/>
  <c r="E30" i="1" s="1"/>
  <c r="O29" i="1"/>
  <c r="Q29" i="1" s="1"/>
  <c r="R29" i="1" s="1"/>
  <c r="I29" i="1"/>
  <c r="K29" i="1" s="1"/>
  <c r="L29" i="1" s="1"/>
  <c r="C29" i="1"/>
  <c r="E29" i="1" s="1"/>
  <c r="F29" i="1" s="1"/>
  <c r="P24" i="1"/>
  <c r="J24" i="1"/>
  <c r="D24" i="1"/>
  <c r="O21" i="1"/>
  <c r="P21" i="1" s="1"/>
  <c r="I21" i="1"/>
  <c r="K21" i="1" s="1"/>
  <c r="C21" i="1"/>
  <c r="D21" i="1" s="1"/>
  <c r="O20" i="1"/>
  <c r="Q20" i="1" s="1"/>
  <c r="I20" i="1"/>
  <c r="J20" i="1" s="1"/>
  <c r="E20" i="1"/>
  <c r="C20" i="1"/>
  <c r="D20" i="1" s="1"/>
  <c r="O19" i="1"/>
  <c r="P19" i="1" s="1"/>
  <c r="I19" i="1"/>
  <c r="J19" i="1" s="1"/>
  <c r="C19" i="1"/>
  <c r="D19" i="1" s="1"/>
  <c r="O18" i="1"/>
  <c r="Q18" i="1" s="1"/>
  <c r="I18" i="1"/>
  <c r="J18" i="1" s="1"/>
  <c r="C18" i="1"/>
  <c r="D18" i="1" s="1"/>
  <c r="O17" i="1"/>
  <c r="P17" i="1" s="1"/>
  <c r="I17" i="1"/>
  <c r="J17" i="1" s="1"/>
  <c r="C17" i="1"/>
  <c r="D17" i="1" s="1"/>
  <c r="O16" i="1"/>
  <c r="P16" i="1" s="1"/>
  <c r="I16" i="1"/>
  <c r="J16" i="1" s="1"/>
  <c r="C16" i="1"/>
  <c r="E16" i="1" s="1"/>
  <c r="O15" i="1"/>
  <c r="P15" i="1" s="1"/>
  <c r="I15" i="1"/>
  <c r="K15" i="1" s="1"/>
  <c r="C15" i="1"/>
  <c r="D15" i="1" s="1"/>
  <c r="O14" i="1"/>
  <c r="Q14" i="1" s="1"/>
  <c r="I14" i="1"/>
  <c r="J14" i="1" s="1"/>
  <c r="C14" i="1"/>
  <c r="D14" i="1" s="1"/>
  <c r="O13" i="1"/>
  <c r="P13" i="1" s="1"/>
  <c r="I13" i="1"/>
  <c r="K13" i="1" s="1"/>
  <c r="C13" i="1"/>
  <c r="D13" i="1" s="1"/>
  <c r="O12" i="1"/>
  <c r="P12" i="1" s="1"/>
  <c r="I12" i="1"/>
  <c r="J12" i="1" s="1"/>
  <c r="C12" i="1"/>
  <c r="E12" i="1" s="1"/>
  <c r="O11" i="1"/>
  <c r="P11" i="1" s="1"/>
  <c r="I11" i="1"/>
  <c r="J11" i="1" s="1"/>
  <c r="C11" i="1"/>
  <c r="D11" i="1" s="1"/>
  <c r="O10" i="1"/>
  <c r="Q10" i="1" s="1"/>
  <c r="I10" i="1"/>
  <c r="J10" i="1" s="1"/>
  <c r="C10" i="1"/>
  <c r="E10" i="1" s="1"/>
  <c r="O9" i="1"/>
  <c r="P9" i="1" s="1"/>
  <c r="I9" i="1"/>
  <c r="J9" i="1" s="1"/>
  <c r="C9" i="1"/>
  <c r="D9" i="1" s="1"/>
  <c r="O8" i="1"/>
  <c r="P8" i="1" s="1"/>
  <c r="I8" i="1"/>
  <c r="J8" i="1" s="1"/>
  <c r="C8" i="1"/>
  <c r="E8" i="1" s="1"/>
  <c r="O7" i="1"/>
  <c r="P7" i="1" s="1"/>
  <c r="I7" i="1"/>
  <c r="K7" i="1" s="1"/>
  <c r="C7" i="1"/>
  <c r="D7" i="1" s="1"/>
  <c r="R4" i="1"/>
  <c r="L4" i="1"/>
  <c r="F4" i="1"/>
  <c r="P18" i="1" l="1"/>
  <c r="E38" i="15"/>
  <c r="G38" i="15" s="1"/>
  <c r="G8" i="2"/>
  <c r="E9" i="1"/>
  <c r="Q7" i="1"/>
  <c r="G11" i="2"/>
  <c r="G14" i="2"/>
  <c r="G19" i="2"/>
  <c r="H19" i="2" s="1"/>
  <c r="G22" i="2"/>
  <c r="G8" i="3"/>
  <c r="J10" i="14"/>
  <c r="E23" i="15"/>
  <c r="G23" i="15" s="1"/>
  <c r="E19" i="15"/>
  <c r="G19" i="15" s="1"/>
  <c r="F31" i="15"/>
  <c r="E36" i="15"/>
  <c r="G36" i="15" s="1"/>
  <c r="F43" i="15"/>
  <c r="M10" i="14"/>
  <c r="R8" i="14" s="1"/>
  <c r="F15" i="15"/>
  <c r="E32" i="15"/>
  <c r="G32" i="15" s="1"/>
  <c r="E57" i="15"/>
  <c r="G57" i="15" s="1"/>
  <c r="E13" i="15"/>
  <c r="G13" i="15" s="1"/>
  <c r="E17" i="15"/>
  <c r="G17" i="15" s="1"/>
  <c r="E21" i="15"/>
  <c r="G21" i="15" s="1"/>
  <c r="E34" i="15"/>
  <c r="G34" i="15" s="1"/>
  <c r="E42" i="15"/>
  <c r="G42" i="15" s="1"/>
  <c r="E54" i="15"/>
  <c r="G54" i="15" s="1"/>
  <c r="O9" i="14"/>
  <c r="R7" i="14"/>
  <c r="T7" i="14" s="1"/>
  <c r="I6" i="10"/>
  <c r="L5" i="10"/>
  <c r="N5" i="10" s="1"/>
  <c r="I8" i="10"/>
  <c r="L7" i="10"/>
  <c r="N7" i="10" s="1"/>
  <c r="E14" i="1"/>
  <c r="Q15" i="1"/>
  <c r="K17" i="1"/>
  <c r="L17" i="1" s="1"/>
  <c r="K9" i="1"/>
  <c r="L9" i="1" s="1"/>
  <c r="J13" i="1"/>
  <c r="L13" i="1" s="1"/>
  <c r="P14" i="1"/>
  <c r="R14" i="1" s="1"/>
  <c r="Q8" i="1"/>
  <c r="R8" i="1" s="1"/>
  <c r="G13" i="2"/>
  <c r="G21" i="2"/>
  <c r="I21" i="2" s="1"/>
  <c r="E5" i="3"/>
  <c r="M5" i="13"/>
  <c r="O5" i="13" s="1"/>
  <c r="R5" i="14"/>
  <c r="F11" i="15"/>
  <c r="E15" i="15"/>
  <c r="G15" i="15" s="1"/>
  <c r="E18" i="15"/>
  <c r="G18" i="15" s="1"/>
  <c r="F27" i="15"/>
  <c r="E31" i="15"/>
  <c r="G31" i="15" s="1"/>
  <c r="E48" i="15"/>
  <c r="G48" i="15" s="1"/>
  <c r="F14" i="1"/>
  <c r="D8" i="1"/>
  <c r="F8" i="1" s="1"/>
  <c r="K11" i="1"/>
  <c r="L11" i="1" s="1"/>
  <c r="E13" i="1"/>
  <c r="K14" i="1"/>
  <c r="L14" i="1" s="1"/>
  <c r="K19" i="1"/>
  <c r="E21" i="1"/>
  <c r="G10" i="2"/>
  <c r="D12" i="1"/>
  <c r="F12" i="1" s="1"/>
  <c r="Q16" i="1"/>
  <c r="R16" i="1" s="1"/>
  <c r="K18" i="1"/>
  <c r="Q19" i="1"/>
  <c r="R19" i="1" s="1"/>
  <c r="K10" i="1"/>
  <c r="F5" i="3"/>
  <c r="F24" i="4"/>
  <c r="N27" i="13"/>
  <c r="O27" i="13" s="1"/>
  <c r="F21" i="15"/>
  <c r="E35" i="15"/>
  <c r="G35" i="15" s="1"/>
  <c r="E52" i="15"/>
  <c r="G52" i="15" s="1"/>
  <c r="F41" i="15"/>
  <c r="J9" i="14"/>
  <c r="F25" i="15"/>
  <c r="F35" i="15"/>
  <c r="M25" i="10"/>
  <c r="M27" i="10" s="1"/>
  <c r="N27" i="10" s="1"/>
  <c r="J6" i="14"/>
  <c r="AB11" i="14"/>
  <c r="AD11" i="14" s="1"/>
  <c r="F19" i="15"/>
  <c r="E39" i="15"/>
  <c r="G39" i="15" s="1"/>
  <c r="F45" i="15"/>
  <c r="F13" i="15"/>
  <c r="F29" i="15"/>
  <c r="F32" i="15"/>
  <c r="E40" i="15"/>
  <c r="G40" i="15" s="1"/>
  <c r="E43" i="15"/>
  <c r="G43" i="15" s="1"/>
  <c r="E46" i="15"/>
  <c r="G46" i="15" s="1"/>
  <c r="F49" i="15"/>
  <c r="I18" i="13"/>
  <c r="N19" i="13" s="1"/>
  <c r="J5" i="14"/>
  <c r="J8" i="14"/>
  <c r="AB9" i="14"/>
  <c r="AD9" i="14" s="1"/>
  <c r="E8" i="15"/>
  <c r="G8" i="15" s="1"/>
  <c r="E11" i="15"/>
  <c r="G11" i="15" s="1"/>
  <c r="E14" i="15"/>
  <c r="G14" i="15" s="1"/>
  <c r="F23" i="15"/>
  <c r="E27" i="15"/>
  <c r="G27" i="15" s="1"/>
  <c r="E30" i="15"/>
  <c r="G30" i="15" s="1"/>
  <c r="F36" i="15"/>
  <c r="E50" i="15"/>
  <c r="G50" i="15" s="1"/>
  <c r="F53" i="15"/>
  <c r="F57" i="15"/>
  <c r="K15" i="10"/>
  <c r="M15" i="10"/>
  <c r="F8" i="15"/>
  <c r="F40" i="15"/>
  <c r="F48" i="15"/>
  <c r="F52" i="15"/>
  <c r="F56" i="15"/>
  <c r="F37" i="15"/>
  <c r="F6" i="15"/>
  <c r="F10" i="15"/>
  <c r="F14" i="15"/>
  <c r="F18" i="15"/>
  <c r="F22" i="15"/>
  <c r="F26" i="15"/>
  <c r="F30" i="15"/>
  <c r="F34" i="15"/>
  <c r="F42" i="15"/>
  <c r="F46" i="15"/>
  <c r="F50" i="15"/>
  <c r="F54" i="15"/>
  <c r="F39" i="15"/>
  <c r="O5" i="14"/>
  <c r="AB5" i="14"/>
  <c r="AD5" i="14" s="1"/>
  <c r="X14" i="14"/>
  <c r="O7" i="14"/>
  <c r="AB10" i="14"/>
  <c r="AD10" i="14" s="1"/>
  <c r="T22" i="14"/>
  <c r="AB6" i="14"/>
  <c r="AD6" i="14" s="1"/>
  <c r="O6" i="14"/>
  <c r="T8" i="14"/>
  <c r="W8" i="14"/>
  <c r="Y8" i="14" s="1"/>
  <c r="R26" i="14"/>
  <c r="O10" i="14"/>
  <c r="AC14" i="14"/>
  <c r="W26" i="14"/>
  <c r="T6" i="14"/>
  <c r="J7" i="14"/>
  <c r="N14" i="14"/>
  <c r="H26" i="14"/>
  <c r="AB26" i="14"/>
  <c r="I18" i="12"/>
  <c r="J6" i="11"/>
  <c r="I25" i="11"/>
  <c r="I26" i="11" s="1"/>
  <c r="J26" i="11" s="1"/>
  <c r="C9" i="11"/>
  <c r="H16" i="8"/>
  <c r="I16" i="8" s="1"/>
  <c r="M42" i="8"/>
  <c r="M43" i="8" s="1"/>
  <c r="N43" i="8" s="1"/>
  <c r="M7" i="13"/>
  <c r="O7" i="13" s="1"/>
  <c r="J7" i="13"/>
  <c r="M6" i="13"/>
  <c r="O6" i="13" s="1"/>
  <c r="J6" i="13"/>
  <c r="J9" i="13"/>
  <c r="M9" i="13"/>
  <c r="O9" i="13" s="1"/>
  <c r="J10" i="13"/>
  <c r="I26" i="13"/>
  <c r="I27" i="13" s="1"/>
  <c r="J27" i="13" s="1"/>
  <c r="J8" i="13"/>
  <c r="J11" i="12"/>
  <c r="J12" i="12" s="1"/>
  <c r="J13" i="12" s="1"/>
  <c r="J9" i="11"/>
  <c r="M9" i="11"/>
  <c r="O9" i="11" s="1"/>
  <c r="N12" i="11"/>
  <c r="M5" i="11"/>
  <c r="O5" i="11" s="1"/>
  <c r="J5" i="11"/>
  <c r="M7" i="11"/>
  <c r="O7" i="11" s="1"/>
  <c r="J7" i="11"/>
  <c r="M8" i="11"/>
  <c r="J8" i="11"/>
  <c r="N25" i="11"/>
  <c r="N26" i="11" s="1"/>
  <c r="O26" i="11" s="1"/>
  <c r="N16" i="11"/>
  <c r="O16" i="11" s="1"/>
  <c r="M12" i="10"/>
  <c r="I5" i="10"/>
  <c r="L10" i="10"/>
  <c r="N10" i="10" s="1"/>
  <c r="I10" i="10"/>
  <c r="L9" i="10"/>
  <c r="N9" i="10" s="1"/>
  <c r="I9" i="10"/>
  <c r="L6" i="10"/>
  <c r="N6" i="10" s="1"/>
  <c r="M12" i="8"/>
  <c r="I5" i="8"/>
  <c r="L5" i="8"/>
  <c r="N5" i="8" s="1"/>
  <c r="I8" i="8"/>
  <c r="L8" i="8"/>
  <c r="N8" i="8" s="1"/>
  <c r="J32" i="8"/>
  <c r="L6" i="8"/>
  <c r="N6" i="8" s="1"/>
  <c r="I6" i="8"/>
  <c r="I7" i="8"/>
  <c r="L7" i="8"/>
  <c r="N7" i="8" s="1"/>
  <c r="I33" i="8"/>
  <c r="J33" i="8" s="1"/>
  <c r="I9" i="8"/>
  <c r="M26" i="8"/>
  <c r="J44" i="8"/>
  <c r="I26" i="8"/>
  <c r="J26" i="8" s="1"/>
  <c r="J25" i="8"/>
  <c r="J7" i="1"/>
  <c r="L7" i="1" s="1"/>
  <c r="K8" i="1"/>
  <c r="K22" i="1" s="1"/>
  <c r="E19" i="1"/>
  <c r="F19" i="1" s="1"/>
  <c r="P10" i="1"/>
  <c r="R10" i="1" s="1"/>
  <c r="Q11" i="1"/>
  <c r="R11" i="1" s="1"/>
  <c r="Q12" i="1"/>
  <c r="R12" i="1" s="1"/>
  <c r="D16" i="1"/>
  <c r="F16" i="1" s="1"/>
  <c r="E17" i="1"/>
  <c r="F17" i="1" s="1"/>
  <c r="E18" i="1"/>
  <c r="F18" i="1" s="1"/>
  <c r="J21" i="1"/>
  <c r="L21" i="1" s="1"/>
  <c r="G9" i="2"/>
  <c r="I9" i="2" s="1"/>
  <c r="G12" i="2"/>
  <c r="I12" i="2" s="1"/>
  <c r="G17" i="2"/>
  <c r="I17" i="2" s="1"/>
  <c r="G20" i="2"/>
  <c r="H20" i="2" s="1"/>
  <c r="G25" i="2"/>
  <c r="I25" i="2" s="1"/>
  <c r="G28" i="2"/>
  <c r="Q9" i="1"/>
  <c r="F13" i="1"/>
  <c r="E15" i="1"/>
  <c r="F15" i="1" s="1"/>
  <c r="L18" i="1"/>
  <c r="K20" i="1"/>
  <c r="L20" i="1" s="1"/>
  <c r="L8" i="1"/>
  <c r="Q13" i="1"/>
  <c r="R13" i="1" s="1"/>
  <c r="L19" i="1"/>
  <c r="G15" i="2"/>
  <c r="G18" i="2"/>
  <c r="I18" i="2" s="1"/>
  <c r="G26" i="2"/>
  <c r="I26" i="2" s="1"/>
  <c r="C5" i="3"/>
  <c r="F20" i="1"/>
  <c r="F9" i="1"/>
  <c r="D10" i="1"/>
  <c r="F10" i="1" s="1"/>
  <c r="E11" i="1"/>
  <c r="F11" i="1" s="1"/>
  <c r="J15" i="1"/>
  <c r="L15" i="1" s="1"/>
  <c r="K16" i="1"/>
  <c r="L16" i="1" s="1"/>
  <c r="P20" i="1"/>
  <c r="R20" i="1" s="1"/>
  <c r="Q21" i="1"/>
  <c r="R21" i="1" s="1"/>
  <c r="D62" i="1"/>
  <c r="D5" i="3"/>
  <c r="D6" i="3" s="1"/>
  <c r="D10" i="3" s="1"/>
  <c r="F15" i="4"/>
  <c r="E53" i="1"/>
  <c r="F53" i="1" s="1"/>
  <c r="G16" i="2"/>
  <c r="H16" i="2" s="1"/>
  <c r="G24" i="2"/>
  <c r="I24" i="2" s="1"/>
  <c r="G5" i="3"/>
  <c r="G6" i="3" s="1"/>
  <c r="E7" i="1"/>
  <c r="E22" i="1" s="1"/>
  <c r="F33" i="1" s="1"/>
  <c r="L10" i="1"/>
  <c r="K12" i="1"/>
  <c r="L12" i="1" s="1"/>
  <c r="R15" i="1"/>
  <c r="Q17" i="1"/>
  <c r="R17" i="1" s="1"/>
  <c r="R18" i="1"/>
  <c r="F21" i="1"/>
  <c r="J62" i="1"/>
  <c r="G27" i="2"/>
  <c r="I27" i="2" s="1"/>
  <c r="C48" i="6"/>
  <c r="C49" i="6"/>
  <c r="C60" i="6"/>
  <c r="C47" i="6"/>
  <c r="G4" i="5"/>
  <c r="G41" i="5"/>
  <c r="G14" i="5"/>
  <c r="F17" i="4"/>
  <c r="F18" i="4" s="1"/>
  <c r="E22" i="4"/>
  <c r="F22" i="4" s="1"/>
  <c r="E23" i="4"/>
  <c r="F23" i="4" s="1"/>
  <c r="F12" i="3"/>
  <c r="G12" i="3"/>
  <c r="E12" i="3"/>
  <c r="D12" i="3"/>
  <c r="C6" i="3"/>
  <c r="E6" i="3"/>
  <c r="C8" i="3"/>
  <c r="F6" i="3"/>
  <c r="D8" i="3"/>
  <c r="E8" i="3"/>
  <c r="F8" i="3"/>
  <c r="I10" i="2"/>
  <c r="H10" i="2"/>
  <c r="I8" i="2"/>
  <c r="G7" i="2"/>
  <c r="G5" i="2"/>
  <c r="H8" i="2"/>
  <c r="G6" i="2"/>
  <c r="G4" i="2"/>
  <c r="I11" i="2"/>
  <c r="H11" i="2"/>
  <c r="I14" i="2"/>
  <c r="H14" i="2"/>
  <c r="I22" i="2"/>
  <c r="H22" i="2"/>
  <c r="I15" i="2"/>
  <c r="H15" i="2"/>
  <c r="H21" i="2"/>
  <c r="H12" i="2"/>
  <c r="H17" i="2"/>
  <c r="I20" i="2"/>
  <c r="I28" i="2"/>
  <c r="H28" i="2"/>
  <c r="H13" i="2"/>
  <c r="I13" i="2"/>
  <c r="I23" i="2"/>
  <c r="H23" i="2"/>
  <c r="R7" i="1"/>
  <c r="L32" i="1" l="1"/>
  <c r="L45" i="1" s="1"/>
  <c r="L30" i="1"/>
  <c r="L33" i="1"/>
  <c r="I19" i="2"/>
  <c r="J22" i="1"/>
  <c r="F7" i="1"/>
  <c r="I16" i="2"/>
  <c r="J11" i="13"/>
  <c r="N11" i="10"/>
  <c r="N12" i="10" s="1"/>
  <c r="N13" i="10" s="1"/>
  <c r="N14" i="10" s="1"/>
  <c r="Q22" i="1"/>
  <c r="R32" i="1" s="1"/>
  <c r="J13" i="14"/>
  <c r="J14" i="14" s="1"/>
  <c r="J15" i="14" s="1"/>
  <c r="O13" i="14"/>
  <c r="O14" i="14" s="1"/>
  <c r="O15" i="14" s="1"/>
  <c r="W5" i="14"/>
  <c r="Y5" i="14" s="1"/>
  <c r="Y13" i="14" s="1"/>
  <c r="Y14" i="14" s="1"/>
  <c r="Y15" i="14" s="1"/>
  <c r="T5" i="14"/>
  <c r="T13" i="14" s="1"/>
  <c r="T14" i="14" s="1"/>
  <c r="T15" i="14" s="1"/>
  <c r="D22" i="1"/>
  <c r="H18" i="2"/>
  <c r="L22" i="1"/>
  <c r="L24" i="1" s="1"/>
  <c r="L25" i="1" s="1"/>
  <c r="H25" i="2"/>
  <c r="O11" i="13"/>
  <c r="AD13" i="14"/>
  <c r="AD14" i="14" s="1"/>
  <c r="AD15" i="14" s="1"/>
  <c r="I34" i="8"/>
  <c r="J34" i="8" s="1"/>
  <c r="N42" i="8"/>
  <c r="J14" i="12"/>
  <c r="J18" i="12"/>
  <c r="M10" i="11"/>
  <c r="O10" i="11" s="1"/>
  <c r="O8" i="11"/>
  <c r="O11" i="11" s="1"/>
  <c r="O12" i="11" s="1"/>
  <c r="O13" i="11" s="1"/>
  <c r="J10" i="11"/>
  <c r="J11" i="11" s="1"/>
  <c r="J12" i="11" s="1"/>
  <c r="I13" i="10"/>
  <c r="I14" i="10" s="1"/>
  <c r="I15" i="10" s="1"/>
  <c r="N10" i="8"/>
  <c r="N12" i="8" s="1"/>
  <c r="N13" i="8" s="1"/>
  <c r="I10" i="8"/>
  <c r="I12" i="8" s="1"/>
  <c r="I13" i="8" s="1"/>
  <c r="N26" i="8"/>
  <c r="M27" i="8"/>
  <c r="N27" i="8" s="1"/>
  <c r="I27" i="8"/>
  <c r="R33" i="1"/>
  <c r="F30" i="1"/>
  <c r="R9" i="1"/>
  <c r="F22" i="1"/>
  <c r="F24" i="1" s="1"/>
  <c r="F25" i="1" s="1"/>
  <c r="H9" i="2"/>
  <c r="H27" i="2"/>
  <c r="P22" i="1"/>
  <c r="H24" i="2"/>
  <c r="H26" i="2"/>
  <c r="D11" i="3"/>
  <c r="D13" i="3" s="1"/>
  <c r="D15" i="3" s="1"/>
  <c r="F32" i="1"/>
  <c r="R22" i="1"/>
  <c r="R24" i="1" s="1"/>
  <c r="R25" i="1" s="1"/>
  <c r="F35" i="4"/>
  <c r="F37" i="4" s="1"/>
  <c r="C10" i="3"/>
  <c r="C11" i="3" s="1"/>
  <c r="C13" i="3" s="1"/>
  <c r="C15" i="3" s="1"/>
  <c r="G10" i="3"/>
  <c r="G11" i="3" s="1"/>
  <c r="G13" i="3" s="1"/>
  <c r="G15" i="3" s="1"/>
  <c r="F17" i="3"/>
  <c r="F11" i="3"/>
  <c r="F13" i="3" s="1"/>
  <c r="F15" i="3" s="1"/>
  <c r="F10" i="3"/>
  <c r="E10" i="3"/>
  <c r="E11" i="3" s="1"/>
  <c r="E13" i="3" s="1"/>
  <c r="E15" i="3" s="1"/>
  <c r="E17" i="3"/>
  <c r="I6" i="2"/>
  <c r="H6" i="2"/>
  <c r="I7" i="2"/>
  <c r="H7" i="2"/>
  <c r="I5" i="2"/>
  <c r="H5" i="2"/>
  <c r="H4" i="2"/>
  <c r="I4" i="2"/>
  <c r="N15" i="10" l="1"/>
  <c r="N16" i="10" s="1"/>
  <c r="N18" i="10" s="1"/>
  <c r="O19" i="10" s="1"/>
  <c r="N17" i="10"/>
  <c r="F45" i="1"/>
  <c r="R30" i="1"/>
  <c r="R45" i="1" s="1"/>
  <c r="O18" i="11"/>
  <c r="O15" i="11"/>
  <c r="J17" i="11"/>
  <c r="J14" i="11"/>
  <c r="I18" i="10"/>
  <c r="I20" i="10"/>
  <c r="I16" i="10"/>
  <c r="I14" i="8"/>
  <c r="I19" i="8"/>
  <c r="I15" i="8"/>
  <c r="N19" i="8"/>
  <c r="N16" i="8"/>
  <c r="N14" i="8"/>
  <c r="J27" i="8"/>
  <c r="M33" i="8"/>
  <c r="F38" i="4"/>
  <c r="R51" i="1"/>
  <c r="R55" i="1" s="1"/>
  <c r="F51" i="1"/>
  <c r="F55" i="1" s="1"/>
  <c r="L51" i="1"/>
  <c r="L55" i="1" s="1"/>
  <c r="N18" i="8" l="1"/>
  <c r="N20" i="8" s="1"/>
  <c r="N22" i="8" s="1"/>
  <c r="I19" i="10"/>
  <c r="I21" i="10" s="1"/>
  <c r="J22" i="10" s="1"/>
  <c r="I18" i="8"/>
  <c r="I20" i="8" s="1"/>
  <c r="I22" i="8" s="1"/>
  <c r="M47" i="8" s="1"/>
  <c r="N33" i="8"/>
  <c r="M35" i="8"/>
  <c r="F39" i="4"/>
  <c r="F40" i="4" s="1"/>
  <c r="L57" i="1"/>
  <c r="L59" i="1" s="1"/>
  <c r="L61" i="1" s="1"/>
  <c r="L62" i="1" s="1"/>
  <c r="L64" i="1" s="1"/>
  <c r="F57" i="1"/>
  <c r="F59" i="1" s="1"/>
  <c r="F61" i="1" s="1"/>
  <c r="F62" i="1" s="1"/>
  <c r="F64" i="1" s="1"/>
  <c r="R57" i="1"/>
  <c r="R59" i="1" s="1"/>
  <c r="R61" i="1" s="1"/>
  <c r="R62" i="1" s="1"/>
  <c r="R64" i="1" s="1"/>
  <c r="M31" i="8" l="1"/>
  <c r="N31" i="8" s="1"/>
  <c r="I39" i="8"/>
  <c r="I40" i="8" s="1"/>
  <c r="J40" i="8" s="1"/>
  <c r="N35" i="8"/>
  <c r="F42" i="4"/>
  <c r="F41" i="4"/>
  <c r="M36" i="8" l="1"/>
  <c r="N36" i="8" s="1"/>
  <c r="J39" i="8"/>
  <c r="D20" i="13" l="1"/>
  <c r="I15" i="13" s="1"/>
  <c r="D19" i="13"/>
  <c r="I12" i="13" s="1"/>
  <c r="D22" i="11"/>
  <c r="I13" i="11" s="1"/>
  <c r="B22" i="11"/>
  <c r="G13" i="11" s="1"/>
  <c r="L14" i="11" s="1"/>
  <c r="G7" i="9"/>
  <c r="I7" i="9" s="1"/>
  <c r="N12" i="13" l="1"/>
  <c r="O12" i="13" s="1"/>
  <c r="O13" i="13" s="1"/>
  <c r="J12" i="13"/>
  <c r="J13" i="13" s="1"/>
  <c r="D21" i="13"/>
  <c r="I16" i="13" s="1"/>
  <c r="H16" i="9"/>
  <c r="I16" i="9" s="1"/>
  <c r="N15" i="13"/>
  <c r="D22" i="13"/>
  <c r="C22" i="12"/>
  <c r="I16" i="12" s="1"/>
  <c r="J16" i="12" s="1"/>
  <c r="J17" i="12" s="1"/>
  <c r="J19" i="12" s="1"/>
  <c r="K19" i="12" s="1"/>
  <c r="B22" i="13"/>
  <c r="B22" i="12"/>
  <c r="G16" i="12" s="1"/>
  <c r="N14" i="11"/>
  <c r="O14" i="11" s="1"/>
  <c r="O17" i="11" s="1"/>
  <c r="O19" i="11" s="1"/>
  <c r="P20" i="11" s="1"/>
  <c r="J13" i="11"/>
  <c r="J16" i="11" s="1"/>
  <c r="J18" i="11" s="1"/>
  <c r="K19" i="11" s="1"/>
  <c r="D8" i="14"/>
  <c r="D14" i="14"/>
  <c r="C14" i="14"/>
  <c r="AB19" i="14" s="1"/>
  <c r="AD19" i="14" s="1"/>
  <c r="D7" i="14"/>
  <c r="D13" i="14"/>
  <c r="N17" i="13" l="1"/>
  <c r="O17" i="13" s="1"/>
  <c r="O19" i="13" s="1"/>
  <c r="J16" i="13"/>
  <c r="J18" i="13" s="1"/>
  <c r="O15" i="13"/>
  <c r="J15" i="13"/>
  <c r="L14" i="13"/>
  <c r="G14" i="13"/>
  <c r="N14" i="13"/>
  <c r="O14" i="13" s="1"/>
  <c r="I14" i="13"/>
  <c r="J14" i="13" s="1"/>
  <c r="C8" i="14"/>
  <c r="C13" i="14"/>
  <c r="C9" i="14"/>
  <c r="G6" i="9"/>
  <c r="I6" i="9" s="1"/>
  <c r="G8" i="9"/>
  <c r="I8" i="9" s="1"/>
  <c r="D9" i="14"/>
  <c r="C4" i="14"/>
  <c r="H17" i="14" s="1"/>
  <c r="C11" i="14"/>
  <c r="D11" i="14"/>
  <c r="C6" i="14"/>
  <c r="C7" i="14"/>
  <c r="J17" i="13" l="1"/>
  <c r="J19" i="13" s="1"/>
  <c r="K20" i="13" s="1"/>
  <c r="O18" i="13"/>
  <c r="O20" i="13" s="1"/>
  <c r="P21" i="13" s="1"/>
  <c r="M17" i="14"/>
  <c r="J17" i="14"/>
  <c r="C5" i="14"/>
  <c r="H18" i="14" s="1"/>
  <c r="M18" i="14" s="1"/>
  <c r="D6" i="14"/>
  <c r="M19" i="14"/>
  <c r="H19" i="14"/>
  <c r="J19" i="14" s="1"/>
  <c r="W18" i="14"/>
  <c r="Y18" i="14" s="1"/>
  <c r="G4" i="9"/>
  <c r="I4" i="9" s="1"/>
  <c r="J23" i="14" l="1"/>
  <c r="R17" i="14"/>
  <c r="O17" i="14"/>
  <c r="O19" i="14"/>
  <c r="R19" i="14"/>
  <c r="T19" i="14" s="1"/>
  <c r="R18" i="14"/>
  <c r="T18" i="14" s="1"/>
  <c r="O18" i="14"/>
  <c r="G5" i="9"/>
  <c r="I5" i="9" s="1"/>
  <c r="I9" i="9" s="1"/>
  <c r="I10" i="9" s="1"/>
  <c r="I11" i="9" s="1"/>
  <c r="I12" i="9" l="1"/>
  <c r="I13" i="9"/>
  <c r="I18" i="9"/>
  <c r="W17" i="14"/>
  <c r="T17" i="14"/>
  <c r="T23" i="14" s="1"/>
  <c r="O23" i="14"/>
  <c r="J26" i="14"/>
  <c r="J24" i="14"/>
  <c r="J25" i="14" s="1"/>
  <c r="I17" i="9" l="1"/>
  <c r="J27" i="14"/>
  <c r="J28" i="14" s="1"/>
  <c r="J30" i="14" s="1"/>
  <c r="T24" i="14"/>
  <c r="T25" i="14" s="1"/>
  <c r="T26" i="14"/>
  <c r="AB17" i="14"/>
  <c r="AD17" i="14" s="1"/>
  <c r="AD23" i="14" s="1"/>
  <c r="Y17" i="14"/>
  <c r="Y23" i="14" s="1"/>
  <c r="O26" i="14"/>
  <c r="O24" i="14"/>
  <c r="O25" i="14" s="1"/>
  <c r="I21" i="9" l="1"/>
  <c r="I19" i="9"/>
  <c r="AD24" i="14"/>
  <c r="AD25" i="14" s="1"/>
  <c r="AD26" i="14"/>
  <c r="O27" i="14"/>
  <c r="O28" i="14" s="1"/>
  <c r="O29" i="14" s="1"/>
  <c r="O31" i="14" s="1"/>
  <c r="Y24" i="14"/>
  <c r="Y25" i="14" s="1"/>
  <c r="Y26" i="14"/>
  <c r="T27" i="14"/>
  <c r="Y27" i="14" l="1"/>
  <c r="Y28" i="14" s="1"/>
  <c r="Y29" i="14" s="1"/>
  <c r="Y31" i="14" s="1"/>
  <c r="AD27" i="14"/>
  <c r="AD29" i="14" s="1"/>
  <c r="AD30" i="14" s="1"/>
  <c r="AD32" i="14" s="1"/>
  <c r="T28" i="14"/>
  <c r="T32" i="14"/>
  <c r="T33" i="14" s="1"/>
  <c r="T34" i="14" s="1"/>
  <c r="T3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ECF7D8A0-98E7-4CBC-BE7F-1852346C4237}">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<sst xmlns="http://schemas.openxmlformats.org/spreadsheetml/2006/main" count="1243" uniqueCount="610">
  <si>
    <t>A</t>
  </si>
  <si>
    <t>B</t>
  </si>
  <si>
    <t xml:space="preserve">C </t>
  </si>
  <si>
    <t>Model Budget</t>
  </si>
  <si>
    <t>Level: 1</t>
  </si>
  <si>
    <t>Bed Days:</t>
  </si>
  <si>
    <t xml:space="preserve">Exp. Caseload  </t>
  </si>
  <si>
    <t>Salary</t>
  </si>
  <si>
    <t>FTE</t>
  </si>
  <si>
    <t>Total</t>
  </si>
  <si>
    <t>Total Program Staff</t>
  </si>
  <si>
    <t>Tax and Fringe</t>
  </si>
  <si>
    <t>Total Salary</t>
  </si>
  <si>
    <t>Non-Salary Expenses</t>
  </si>
  <si>
    <t>Cost</t>
  </si>
  <si>
    <t>Total Non-Salary Expenses</t>
  </si>
  <si>
    <t>Other Expenses</t>
  </si>
  <si>
    <t>%</t>
  </si>
  <si>
    <t>Total Expenses</t>
  </si>
  <si>
    <t>TOTAL</t>
  </si>
  <si>
    <t>Rate</t>
  </si>
  <si>
    <t>FY23 Rate</t>
  </si>
  <si>
    <t>Stipend Level Effective FY23</t>
  </si>
  <si>
    <t>Daily Stipend Rate Effective FY23</t>
  </si>
  <si>
    <t>Daily Stipend Rate Effective FY25</t>
  </si>
  <si>
    <t>Stipend Level Effective FY25</t>
  </si>
  <si>
    <t>Previous Stipend Level</t>
  </si>
  <si>
    <t>New Stipend Level</t>
  </si>
  <si>
    <t>Current Stipend</t>
  </si>
  <si>
    <t xml:space="preserve">Current Per Diem Rate with 95% Utilization &amp; CAF
</t>
  </si>
  <si>
    <t>Benchmark Stipend Increase</t>
  </si>
  <si>
    <t>FY25 CAF</t>
  </si>
  <si>
    <t xml:space="preserve">Proposed Per Diem Rate with 95% Utilization &amp; CAF
</t>
  </si>
  <si>
    <t>Proposed Stipend</t>
  </si>
  <si>
    <t>Rate Increase</t>
  </si>
  <si>
    <t>Stipend Level Caps</t>
  </si>
  <si>
    <t>Cap</t>
  </si>
  <si>
    <t>X</t>
  </si>
  <si>
    <t>Operational Tier A</t>
  </si>
  <si>
    <t>Level 9</t>
  </si>
  <si>
    <t>Operational Tier B</t>
  </si>
  <si>
    <t>Level 13</t>
  </si>
  <si>
    <t>Operational Tier C</t>
  </si>
  <si>
    <t>Level 17</t>
  </si>
  <si>
    <t>Special Application Only</t>
  </si>
  <si>
    <t>Levels 18 - 21</t>
  </si>
  <si>
    <t>Direct Care</t>
  </si>
  <si>
    <t>LPN</t>
  </si>
  <si>
    <t>RN</t>
  </si>
  <si>
    <t>Clinical w/Independent Lic</t>
  </si>
  <si>
    <t>Clinical Psychologist</t>
  </si>
  <si>
    <t>Source</t>
  </si>
  <si>
    <t>Tax &amp; Fringe</t>
  </si>
  <si>
    <t>Total Tax &amp; Fringe</t>
  </si>
  <si>
    <t>Subtotal Compensation</t>
  </si>
  <si>
    <t>PFMLA</t>
  </si>
  <si>
    <t>Total PFMLA</t>
  </si>
  <si>
    <t>CAF</t>
  </si>
  <si>
    <t>Total CAF</t>
  </si>
  <si>
    <t>TOTAL COMPENSATION</t>
  </si>
  <si>
    <t>Billable Hours</t>
  </si>
  <si>
    <t>Proposed FY25 Rates</t>
  </si>
  <si>
    <t>Current Rate(s)</t>
  </si>
  <si>
    <t>% of Change(s)</t>
  </si>
  <si>
    <t>Embedded Rate</t>
  </si>
  <si>
    <t>Direct Care Productivity Chart</t>
  </si>
  <si>
    <t>Nursing / Clinical Staff Productivity Chart</t>
  </si>
  <si>
    <t>Days</t>
  </si>
  <si>
    <t>Hours</t>
  </si>
  <si>
    <t>Vacation / Sick / Personal (PTO)</t>
  </si>
  <si>
    <t>Training (not OJT)</t>
  </si>
  <si>
    <t>Travel / Admin / Supervision / Training / Misc</t>
  </si>
  <si>
    <t>Total Hours per FTE:</t>
  </si>
  <si>
    <t>Remote Direct Supports</t>
  </si>
  <si>
    <t>Service Unit: Per Enrolled Per Day</t>
  </si>
  <si>
    <t>Title</t>
  </si>
  <si>
    <t>Expense</t>
  </si>
  <si>
    <t>Program Management</t>
  </si>
  <si>
    <t>Case Worker</t>
  </si>
  <si>
    <t/>
  </si>
  <si>
    <t>Total Staffing</t>
  </si>
  <si>
    <t>Taxes &amp; Fringe</t>
  </si>
  <si>
    <t>Staff Training</t>
  </si>
  <si>
    <t>Staff Mileage / Travel</t>
  </si>
  <si>
    <t>Staff Technology</t>
  </si>
  <si>
    <t>Program Technology</t>
  </si>
  <si>
    <t>Call center cost</t>
  </si>
  <si>
    <t>Emergency back up support</t>
  </si>
  <si>
    <t>Total Non-Salary</t>
  </si>
  <si>
    <t>Admin. Allocation</t>
  </si>
  <si>
    <t>Daily Rate</t>
  </si>
  <si>
    <t>Hourly Rate</t>
  </si>
  <si>
    <t>Rate Name</t>
  </si>
  <si>
    <t>FY23 Rates</t>
  </si>
  <si>
    <t>FY25 Proposed Rates</t>
  </si>
  <si>
    <t>Diff %</t>
  </si>
  <si>
    <t>C</t>
  </si>
  <si>
    <t>Stipend 1</t>
  </si>
  <si>
    <t>Stipend 2</t>
  </si>
  <si>
    <t>Stipend 3</t>
  </si>
  <si>
    <t>Stipend 4</t>
  </si>
  <si>
    <t>Stipend 5</t>
  </si>
  <si>
    <t>Stipend 6</t>
  </si>
  <si>
    <t>Stipend 7</t>
  </si>
  <si>
    <t>Stipend 8</t>
  </si>
  <si>
    <t>Stipend 9</t>
  </si>
  <si>
    <t>Stipend 10</t>
  </si>
  <si>
    <t>Stipend 11</t>
  </si>
  <si>
    <t>Stipend 12</t>
  </si>
  <si>
    <t>Stipend 13</t>
  </si>
  <si>
    <t>Stipend 14</t>
  </si>
  <si>
    <t>Stipend 15</t>
  </si>
  <si>
    <t>Stipend 16</t>
  </si>
  <si>
    <t>Stipend 17</t>
  </si>
  <si>
    <t>Stipend 18</t>
  </si>
  <si>
    <t>Stipend 19</t>
  </si>
  <si>
    <t>Stipend 20</t>
  </si>
  <si>
    <t>Stipend 21</t>
  </si>
  <si>
    <t>Can we remove exceptions?</t>
  </si>
  <si>
    <t>Stipend Rate Xcpt $136.60</t>
  </si>
  <si>
    <t>Exceptions go back to rates in 2015, 
Any that received higher than the stipends were grandfathered with the exceptions, 
Not published but the language allows for grandfathered rates</t>
  </si>
  <si>
    <t>Stipend Rate Xcpt $138.29</t>
  </si>
  <si>
    <t>Stipend Rate Xcpt $140.73</t>
  </si>
  <si>
    <t>Stipend Rate Xcpt $162.14</t>
  </si>
  <si>
    <t>Stipend Rate Xcpt $163.81</t>
  </si>
  <si>
    <t>Stipend Rate Xcpt $165.83</t>
  </si>
  <si>
    <t>Stipend Rate Xcpt $180.42</t>
  </si>
  <si>
    <t>Stipend Rate Xcpt $193.53</t>
  </si>
  <si>
    <t>Stipend Rate Xcpt $211.96</t>
  </si>
  <si>
    <t>Stipend Rate Xcpt $232.00</t>
  </si>
  <si>
    <t>Stipend Rate Xcpt $235.64</t>
  </si>
  <si>
    <t>Stipend Rate Xcpt $290.96</t>
  </si>
  <si>
    <t>Clinical w/ Independent licensure</t>
  </si>
  <si>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</si>
  <si>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</si>
  <si>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</si>
  <si>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</si>
  <si>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</si>
  <si>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</si>
  <si>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</si>
  <si>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</si>
  <si>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</si>
  <si>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</si>
  <si>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r>
      <rPr>
        <b/>
        <sz val="20"/>
        <color rgb="FFFF0000"/>
        <rFont val="Aptos Narrow"/>
        <family val="2"/>
        <scheme val="minor"/>
      </rPr>
      <t>**PLEASE SEE NOTE BELOW</t>
    </r>
    <r>
      <rPr>
        <sz val="20"/>
        <color theme="1"/>
        <rFont val="Aptos Narrow"/>
        <family val="2"/>
        <scheme val="minor"/>
      </rPr>
      <t xml:space="preserve">
21-1093, 31-1120, 31-2022, 31-9099</t>
    </r>
  </si>
  <si>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</si>
  <si>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</si>
  <si>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</si>
  <si>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</si>
  <si>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</si>
  <si>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</si>
  <si>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</si>
  <si>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</si>
  <si>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</si>
  <si>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</si>
  <si>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</si>
  <si>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</si>
  <si>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</si>
  <si>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</si>
  <si>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</si>
  <si>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</si>
  <si>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</si>
  <si>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</si>
  <si>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</si>
  <si>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</si>
  <si>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</si>
  <si>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</si>
  <si>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</si>
  <si>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</si>
  <si>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</si>
  <si>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</si>
  <si>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</si>
  <si>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</si>
  <si>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</si>
  <si>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</si>
  <si>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</si>
  <si>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</si>
  <si>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</si>
  <si>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</si>
  <si>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</si>
  <si>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</si>
  <si>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</si>
  <si>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</si>
  <si>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</si>
  <si>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</si>
  <si>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</si>
  <si>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</si>
  <si>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</si>
  <si>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</si>
  <si>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</si>
  <si>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r>
      <rPr>
        <b/>
        <sz val="20"/>
        <color rgb="FFFF0000"/>
        <rFont val="Aptos Narrow"/>
        <family val="2"/>
        <scheme val="minor"/>
      </rPr>
      <t>*PLEASE SEE NOTE BELOW</t>
    </r>
    <r>
      <rPr>
        <sz val="20"/>
        <color theme="1"/>
        <rFont val="Aptos Narrow"/>
        <family val="2"/>
        <scheme val="minor"/>
      </rPr>
      <t xml:space="preserve">
29-1129, 31-2011, 29-1122 (25%/25%/50%)</t>
    </r>
  </si>
  <si>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</si>
  <si>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</si>
  <si>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</si>
  <si>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</si>
  <si>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</si>
  <si>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</si>
  <si>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</si>
  <si>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</si>
  <si>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</si>
  <si>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</si>
  <si>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</si>
  <si>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r>
      <rPr>
        <b/>
        <sz val="20"/>
        <color rgb="FFFF0000"/>
        <rFont val="Aptos Narrow"/>
        <family val="2"/>
        <scheme val="minor"/>
      </rPr>
      <t>*PLEASE SEE NOTE BELOW</t>
    </r>
    <r>
      <rPr>
        <sz val="20"/>
        <color theme="1"/>
        <rFont val="Aptos Narrow"/>
        <family val="2"/>
        <scheme val="minor"/>
      </rPr>
      <t xml:space="preserve">
29-1129, 29-1127</t>
    </r>
  </si>
  <si>
    <t>Speech Language Pathologists (annual) *</t>
  </si>
  <si>
    <t>Registerd Nurse (BA) (hourly)</t>
  </si>
  <si>
    <t>Minimum of an associates degree in nursing, a diploma from an approved nursing program, or a Bachelors of Science in Nursing</t>
  </si>
  <si>
    <t>29-1141</t>
  </si>
  <si>
    <t>Relief Assumptions:</t>
  </si>
  <si>
    <t>Model</t>
  </si>
  <si>
    <t>Registered Nurse (BA) (annual)</t>
  </si>
  <si>
    <t>Registerd Nurse (MA / APRN) (hourly)</t>
  </si>
  <si>
    <t>Minimum of a Masters of Science in one of the APRN roles. Must be licensed</t>
  </si>
  <si>
    <t>29-1171</t>
  </si>
  <si>
    <t>vacation</t>
  </si>
  <si>
    <t>Registered Nurse (MA / APRN) (annual)</t>
  </si>
  <si>
    <t>sick/ personal</t>
  </si>
  <si>
    <t>holidays</t>
  </si>
  <si>
    <r>
      <t xml:space="preserve">Clerical, Support &amp; Direct Care Relief Staff are benched to Direct Care </t>
    </r>
    <r>
      <rPr>
        <b/>
        <i/>
        <sz val="20"/>
        <color theme="1"/>
        <rFont val="Aptos Narrow"/>
        <family val="2"/>
        <scheme val="minor"/>
      </rPr>
      <t>**</t>
    </r>
  </si>
  <si>
    <t>training</t>
  </si>
  <si>
    <t xml:space="preserve">Tax and Fringe =  </t>
  </si>
  <si>
    <t xml:space="preserve">Benchmarked to FY23 (approved) Commonwealth (office of the Comptroller) T&amp;F rate, less </t>
  </si>
  <si>
    <t>% of FTE:</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</si>
  <si>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</si>
  <si>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</si>
  <si>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</si>
  <si>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</si>
  <si>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</si>
  <si>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</si>
  <si>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</si>
  <si>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</si>
  <si>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</si>
  <si>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</si>
  <si>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</si>
  <si>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</si>
  <si>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</si>
  <si>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</si>
  <si>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</si>
  <si>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</si>
  <si>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</si>
  <si>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</si>
  <si>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</si>
  <si>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</si>
  <si>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</si>
  <si>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</si>
  <si>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</si>
  <si>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</si>
  <si>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</si>
  <si>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</si>
  <si>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</si>
  <si>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NURSING BLEND</t>
  </si>
  <si>
    <t>Massachusetts Economic Indicators</t>
  </si>
  <si>
    <t>S&amp;P Global Market Intelligence, Fall 2023 Forecast</t>
  </si>
  <si>
    <t>Prepared by Michael Lynch, 781-301-9129</t>
  </si>
  <si>
    <t>jan-march</t>
  </si>
  <si>
    <t>april -june</t>
  </si>
  <si>
    <t>july-sep</t>
  </si>
  <si>
    <t>oct-dec</t>
  </si>
  <si>
    <t>FY24</t>
  </si>
  <si>
    <t>FY25</t>
  </si>
  <si>
    <t>FY26</t>
  </si>
  <si>
    <t>FY27</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</si>
  <si>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</si>
  <si>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</si>
  <si>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</si>
  <si>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</si>
  <si>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</si>
  <si>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</si>
  <si>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</si>
  <si>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</si>
  <si>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</si>
  <si>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</si>
  <si>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</si>
  <si>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</si>
  <si>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</si>
  <si>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</si>
  <si>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</si>
  <si>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</si>
  <si>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</si>
  <si>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</si>
  <si>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</si>
  <si>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</si>
  <si>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</si>
  <si>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</si>
  <si>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</si>
  <si>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</si>
  <si>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</si>
  <si>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</si>
  <si>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</si>
  <si>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</si>
  <si>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</si>
  <si>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</si>
  <si>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</si>
  <si>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</si>
  <si>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</si>
  <si>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</si>
  <si>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</si>
  <si>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</si>
  <si>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</si>
  <si>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</si>
  <si>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</si>
  <si>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</si>
  <si>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</si>
  <si>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</si>
  <si>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</si>
  <si>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</si>
  <si>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</si>
  <si>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</si>
  <si>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</si>
  <si>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</si>
  <si>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</si>
  <si>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</si>
  <si>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</si>
  <si>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</si>
  <si>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</si>
  <si>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</si>
  <si>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</si>
  <si>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</si>
  <si>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</si>
  <si>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</si>
  <si>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</si>
  <si>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</si>
  <si>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</si>
  <si>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</si>
  <si>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</si>
  <si>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</si>
  <si>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</si>
  <si>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</si>
  <si>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</si>
  <si>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</si>
  <si>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</si>
  <si>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</si>
  <si>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</si>
  <si>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</si>
  <si>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</si>
  <si>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</si>
  <si>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</si>
  <si>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</si>
  <si>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</si>
  <si>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</si>
  <si>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</si>
  <si>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</si>
  <si>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</si>
  <si>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</si>
  <si>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</si>
  <si>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</si>
  <si>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</si>
  <si>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</si>
  <si>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</si>
  <si>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</si>
  <si>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</si>
  <si>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</si>
  <si>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</si>
  <si>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</si>
  <si>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</si>
  <si>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</si>
  <si>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</si>
  <si>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</si>
  <si>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</si>
  <si>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</si>
  <si>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</si>
  <si>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</si>
  <si>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</si>
  <si>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</si>
  <si>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</si>
  <si>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</si>
  <si>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</si>
  <si>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CPI--BASELINE SCENARIO (1982-84=1)</t>
  </si>
  <si>
    <t>CPIBASEMA</t>
  </si>
  <si>
    <t>CPI--OPTIMISTIC SCENARIO (1982-84=1)</t>
  </si>
  <si>
    <t>CPIOPTMA</t>
  </si>
  <si>
    <t>CPI--PESSIMISTIC SCENARIO (1982-84=1)</t>
  </si>
  <si>
    <t>CPIPESSMA</t>
  </si>
  <si>
    <t>Rate-to-rate CAF</t>
  </si>
  <si>
    <t>Assumption for Rate Reviews that are to be promulgated July 1, 2024</t>
  </si>
  <si>
    <t xml:space="preserve">Base period: </t>
  </si>
  <si>
    <t>FY24Q4</t>
  </si>
  <si>
    <t>Average</t>
  </si>
  <si>
    <t xml:space="preserve">Prospective rate period: </t>
  </si>
  <si>
    <t>July 1, 2022 - June 30, 2024</t>
  </si>
  <si>
    <t>CAF:</t>
  </si>
  <si>
    <t>MASTER DATA LOOK-UP TABLE</t>
  </si>
  <si>
    <t>Intensive Foster Care One and Two Model Budget</t>
  </si>
  <si>
    <t>Enhanced Foster Care Model Budget</t>
  </si>
  <si>
    <t>Benchmark Salaries</t>
  </si>
  <si>
    <t>Youth</t>
  </si>
  <si>
    <t>Service Days</t>
  </si>
  <si>
    <t>Family Resource Worker</t>
  </si>
  <si>
    <t>May 2022 BLS Case Worker</t>
  </si>
  <si>
    <t>Total FTE</t>
  </si>
  <si>
    <t>DC Supervisor</t>
  </si>
  <si>
    <t>May 2022 BLS DC III</t>
  </si>
  <si>
    <t>Case Manager/Child Care Worker</t>
  </si>
  <si>
    <t xml:space="preserve">May 2022 BLS Case Manager </t>
  </si>
  <si>
    <t>Support</t>
  </si>
  <si>
    <t>May 2022 BLS DC</t>
  </si>
  <si>
    <t>Program Director</t>
  </si>
  <si>
    <t>May 2022 BLS Program Management</t>
  </si>
  <si>
    <t>Benchmark Expenses</t>
  </si>
  <si>
    <t>M2022 Benchmark Ch.257</t>
  </si>
  <si>
    <t>Admin Alloc. (M &amp;G)</t>
  </si>
  <si>
    <t>Consultation (clinical/Behavioral)</t>
  </si>
  <si>
    <t>Approx 16 hours per week</t>
  </si>
  <si>
    <t>DCF defined plus appicable CAFs (1.78% &amp; 2.31%)</t>
  </si>
  <si>
    <t>Total Staffing Costs</t>
  </si>
  <si>
    <t>Misc FC Specific expenses</t>
  </si>
  <si>
    <t xml:space="preserve">DCF defined </t>
  </si>
  <si>
    <t>RATE REVIEW CAF July 2024 (FY25)</t>
  </si>
  <si>
    <t>Fall 2023 CAF placeholder</t>
  </si>
  <si>
    <t>Current</t>
  </si>
  <si>
    <t>Proposed</t>
  </si>
  <si>
    <t>Flex Pool</t>
  </si>
  <si>
    <t>FY24 Stipend</t>
  </si>
  <si>
    <t>DCF defined plus appicable CAF</t>
  </si>
  <si>
    <t>Total Reimb Excl M &amp; G</t>
  </si>
  <si>
    <t>CAF Rate</t>
  </si>
  <si>
    <t xml:space="preserve">Per Service Per day </t>
  </si>
  <si>
    <t xml:space="preserve">Intensive Foster Care One Stipend </t>
  </si>
  <si>
    <t xml:space="preserve">Enhanced Foster Care Stipend </t>
  </si>
  <si>
    <t>Current Reg/Rate</t>
  </si>
  <si>
    <t xml:space="preserve">Proposed </t>
  </si>
  <si>
    <t xml:space="preserve">DCF Departmental Stipend </t>
  </si>
  <si>
    <t xml:space="preserve"> DCF Departmental Stipend </t>
  </si>
  <si>
    <t>Acuity</t>
  </si>
  <si>
    <t>Total Stipend</t>
  </si>
  <si>
    <t>Intensive Foster Care Two Stipend</t>
  </si>
  <si>
    <t xml:space="preserve">Operational </t>
  </si>
  <si>
    <t xml:space="preserve">Experience Incentive Added To Total </t>
  </si>
  <si>
    <t xml:space="preserve">Acuity </t>
  </si>
  <si>
    <t>IFC One Total Stipend Rate</t>
  </si>
  <si>
    <t>Sibling Rate</t>
  </si>
  <si>
    <t>Total Teen Parent Stipend</t>
  </si>
  <si>
    <t xml:space="preserve">Total </t>
  </si>
  <si>
    <t>Operational</t>
  </si>
  <si>
    <t xml:space="preserve">Community-based Alternative to Detention Bed Hold </t>
  </si>
  <si>
    <t xml:space="preserve">Stipend </t>
  </si>
  <si>
    <t>Operational Rate</t>
  </si>
  <si>
    <t xml:space="preserve">Family Residential </t>
  </si>
  <si>
    <t>Social Worker/Child Care Worker</t>
  </si>
  <si>
    <t>Case Manager/
Child Care Worker</t>
  </si>
  <si>
    <t>Benchmark FTEs</t>
  </si>
  <si>
    <t xml:space="preserve"> Capacity: </t>
  </si>
  <si>
    <t>8 clients</t>
  </si>
  <si>
    <t>1 Client</t>
  </si>
  <si>
    <t>Clinician Consultation</t>
  </si>
  <si>
    <t>Social Worker (LICSW)</t>
  </si>
  <si>
    <t>Care Giver Respite (24 hours)</t>
  </si>
  <si>
    <t>CAF FY25 &amp;FY26</t>
  </si>
  <si>
    <t>1 hour every week</t>
  </si>
  <si>
    <t>Current Rate</t>
  </si>
  <si>
    <t>above line</t>
  </si>
  <si>
    <t>$20.00 per hour - 24 hours per youth</t>
  </si>
  <si>
    <t>DCF Defined</t>
  </si>
  <si>
    <t>October 2016 CAF</t>
  </si>
  <si>
    <t>October 2018 CAF</t>
  </si>
  <si>
    <t>Flex pool ( provider to maintain pool, amt is not child-specific)</t>
  </si>
  <si>
    <t>Rate Review CAF (Placeholder)</t>
  </si>
  <si>
    <t>FY25 &amp; FY26</t>
  </si>
  <si>
    <t>Transitions to Adulthood 
IFC Other Foster Care Model Budget</t>
  </si>
  <si>
    <t>Transitions to Adult Services 
IFC Other Foster Care Model Budget</t>
  </si>
  <si>
    <t>May 2022 BLS 53 %</t>
  </si>
  <si>
    <t>Clinician w/ Indep Lic.</t>
  </si>
  <si>
    <t>Social Worker (LSW)</t>
  </si>
  <si>
    <t xml:space="preserve">Family Resource Worker </t>
  </si>
  <si>
    <t>Nursing</t>
  </si>
  <si>
    <t xml:space="preserve">Transitions to Adulthood </t>
  </si>
  <si>
    <t>Transitions to Adult Services</t>
  </si>
  <si>
    <t>DCF Stipend</t>
  </si>
  <si>
    <t>DCF defined plus appicable CAFs</t>
  </si>
  <si>
    <t>FY25&amp; FY26</t>
  </si>
  <si>
    <t>Emergency Shelter Homes 
IFC Other Foster Care Model Budget</t>
  </si>
  <si>
    <t>Sexually Exploited Youth 
IFC Other Foster Care Model Budget</t>
  </si>
  <si>
    <t>Mentors (paraprofessionals)</t>
  </si>
  <si>
    <t>5 clients</t>
  </si>
  <si>
    <t>Child Case  Worker</t>
  </si>
  <si>
    <t xml:space="preserve">Emergency Shelter Homes </t>
  </si>
  <si>
    <t xml:space="preserve">Sexually Exploited Youth </t>
  </si>
  <si>
    <t xml:space="preserve">CAF </t>
  </si>
  <si>
    <t>Child Home-Based Rehabilitation 
IFC Other Foster Care Model Budget</t>
  </si>
  <si>
    <t>Nursing (RN)</t>
  </si>
  <si>
    <t>Child Homebased Rehab Stipend</t>
  </si>
  <si>
    <t>Prospective period FY23 &amp; FY24</t>
  </si>
  <si>
    <t>Multiple Acute Level A</t>
  </si>
  <si>
    <t>Multiple Acute Level B</t>
  </si>
  <si>
    <t>Level A</t>
  </si>
  <si>
    <t>Level B</t>
  </si>
  <si>
    <t>Clinical Care Manager (LICSW)</t>
  </si>
  <si>
    <t xml:space="preserve">Vehicle </t>
  </si>
  <si>
    <t>Multiple Acute Level A Stipend</t>
  </si>
  <si>
    <t>Multiple Acute Level B Stipend</t>
  </si>
  <si>
    <r>
      <t xml:space="preserve">Teen Parent Rate </t>
    </r>
    <r>
      <rPr>
        <b/>
        <sz val="11"/>
        <color rgb="FFFF0000"/>
        <rFont val="Aptos Narrow"/>
        <family val="2"/>
        <scheme val="minor"/>
      </rPr>
      <t>Stipend &amp; Operational</t>
    </r>
  </si>
  <si>
    <r>
      <t xml:space="preserve">Teen Parent </t>
    </r>
    <r>
      <rPr>
        <u/>
        <sz val="11"/>
        <rFont val="Aptos Narrow"/>
        <family val="2"/>
        <scheme val="minor"/>
      </rPr>
      <t>Stipend</t>
    </r>
    <r>
      <rPr>
        <sz val="11"/>
        <rFont val="Aptos Narrow"/>
        <family val="2"/>
        <scheme val="minor"/>
      </rPr>
      <t xml:space="preserve"> Rate</t>
    </r>
  </si>
  <si>
    <r>
      <rPr>
        <b/>
        <sz val="11"/>
        <rFont val="Aptos Narrow"/>
        <family val="2"/>
        <scheme val="minor"/>
      </rPr>
      <t>Sibling</t>
    </r>
    <r>
      <rPr>
        <b/>
        <sz val="11"/>
        <color rgb="FFFF0000"/>
        <rFont val="Aptos Narrow"/>
        <family val="2"/>
        <scheme val="minor"/>
      </rPr>
      <t xml:space="preserve"> Stipend &amp; Operational </t>
    </r>
  </si>
  <si>
    <r>
      <t xml:space="preserve">Community-based Alternative to Detention </t>
    </r>
    <r>
      <rPr>
        <b/>
        <sz val="11"/>
        <color rgb="FFFF0000"/>
        <rFont val="Aptos Narrow"/>
        <family val="2"/>
        <scheme val="minor"/>
      </rPr>
      <t>Stipend</t>
    </r>
  </si>
  <si>
    <r>
      <rPr>
        <sz val="11"/>
        <rFont val="Aptos Narrow"/>
        <family val="2"/>
        <scheme val="minor"/>
      </rPr>
      <t>Total</t>
    </r>
    <r>
      <rPr>
        <sz val="11"/>
        <color rgb="FFFF0000"/>
        <rFont val="Aptos Narrow"/>
        <family val="2"/>
        <scheme val="minor"/>
      </rPr>
      <t xml:space="preserve"> Stipend Plus Operational</t>
    </r>
  </si>
  <si>
    <r>
      <t xml:space="preserve">Community-based Alternative to Detention </t>
    </r>
    <r>
      <rPr>
        <b/>
        <sz val="11"/>
        <color rgb="FFFF0000"/>
        <rFont val="Aptos Narrow"/>
        <family val="2"/>
        <scheme val="minor"/>
      </rPr>
      <t>Operational</t>
    </r>
  </si>
  <si>
    <t>Master Look Up Table</t>
  </si>
  <si>
    <t xml:space="preserve">Total Other Expenses </t>
  </si>
  <si>
    <t>Rate(s) effective 7/1/24</t>
  </si>
  <si>
    <t>FY22 UFR</t>
  </si>
  <si>
    <t>Multiple Adoption Services Model</t>
  </si>
  <si>
    <t>Multiple Post Adoption Services</t>
  </si>
  <si>
    <t>Multiple Foster Parent Support Services Model</t>
  </si>
  <si>
    <t>Youth Permanency Connections Model</t>
  </si>
  <si>
    <t>Complex Medical Foster Care  Compoment Model</t>
  </si>
  <si>
    <t>Occupancy</t>
  </si>
  <si>
    <t>FTEs</t>
  </si>
  <si>
    <t>Salary Exp</t>
  </si>
  <si>
    <t xml:space="preserve"> FTEs</t>
  </si>
  <si>
    <t>Other Client Expenses</t>
  </si>
  <si>
    <t>Travel and Transportation</t>
  </si>
  <si>
    <t>Asst Program Manager</t>
  </si>
  <si>
    <t>Clinician (LCSW)</t>
  </si>
  <si>
    <t xml:space="preserve">Caseworker </t>
  </si>
  <si>
    <t>Asst Prog Manager</t>
  </si>
  <si>
    <t>Program Suppies &amp; Materials</t>
  </si>
  <si>
    <t>Supervisory (DC III)</t>
  </si>
  <si>
    <t xml:space="preserve">Staff training </t>
  </si>
  <si>
    <t>Prog Staff III (DC III)</t>
  </si>
  <si>
    <t>Consultants</t>
  </si>
  <si>
    <t>Direct Care /Prg Staff</t>
  </si>
  <si>
    <t>Consultants (Mult Post Adopt Svcs)</t>
  </si>
  <si>
    <t xml:space="preserve">DCF defined  </t>
  </si>
  <si>
    <t>Prog Staff III</t>
  </si>
  <si>
    <t>Subcontracted direct care</t>
  </si>
  <si>
    <t>Prog Staff / Direct Care</t>
  </si>
  <si>
    <t>Subcontracted Care 
(Mult Adopt Sup Svc Model)</t>
  </si>
  <si>
    <t>Meals</t>
  </si>
  <si>
    <t>Incedental Medical</t>
  </si>
  <si>
    <t>Caregiver stipends
(Mult Adopt Sup Svc Model)</t>
  </si>
  <si>
    <t>Tota Staffing Costs</t>
  </si>
  <si>
    <t>Total Compensation</t>
  </si>
  <si>
    <t>Caregiver stipends
(Complex Medical FC Model)</t>
  </si>
  <si>
    <t>Per FTE</t>
  </si>
  <si>
    <t>Prg Supplies and Materials / Travel / Trasportation / training/ Consultants &amp; Meals</t>
  </si>
  <si>
    <t>Caregiver stipends</t>
  </si>
  <si>
    <t>Tax and fringe</t>
  </si>
  <si>
    <t>FY23 Comptroller</t>
  </si>
  <si>
    <t>Transportation / Travel/ Training /Prg Materials  &amp; Meals</t>
  </si>
  <si>
    <t>Transportation / Travel/ Training / Consultansts /Prg Materials  &amp; Meals</t>
  </si>
  <si>
    <t xml:space="preserve">Incedental Medical </t>
  </si>
  <si>
    <t>M&amp;G</t>
  </si>
  <si>
    <t>Caregiver Stipends</t>
  </si>
  <si>
    <t>Consultant Administration</t>
  </si>
  <si>
    <t>Subcontracted Direct Care</t>
  </si>
  <si>
    <t>Subcontract &amp; Stipend  Administration</t>
  </si>
  <si>
    <t>Total Excl M &amp; G</t>
  </si>
  <si>
    <t>Administrative Allocation</t>
  </si>
  <si>
    <t>Rate/month</t>
  </si>
  <si>
    <t>Rate per Client per day</t>
  </si>
  <si>
    <t>Utilization Factor</t>
  </si>
  <si>
    <t>Respite Units</t>
  </si>
  <si>
    <t>Rate per day (10 beds = full cap)</t>
  </si>
  <si>
    <t>Respite Units (prior RR)</t>
  </si>
  <si>
    <t>Respite Units (avg 2 Fy prior)</t>
  </si>
  <si>
    <t>New Base</t>
  </si>
  <si>
    <t>Rate Accomodation</t>
  </si>
  <si>
    <r>
      <t xml:space="preserve">(c)  </t>
    </r>
    <r>
      <rPr>
        <u/>
        <sz val="11"/>
        <color theme="1"/>
        <rFont val="Times New Roman"/>
        <family val="1"/>
      </rPr>
      <t>AMSS</t>
    </r>
    <r>
      <rPr>
        <sz val="11"/>
        <color theme="1"/>
        <rFont val="Times New Roman"/>
        <family val="1"/>
      </rPr>
      <t xml:space="preserve">.  All rates are paid upon completion of the particular product-based service. </t>
    </r>
  </si>
  <si>
    <t xml:space="preserve">AMSS Product-based Services </t>
  </si>
  <si>
    <t>Benchmark Salary % Increase</t>
  </si>
  <si>
    <t>FY23 CAF</t>
  </si>
  <si>
    <t>Proposed Rate including salary increase</t>
  </si>
  <si>
    <t>Proposed Rate</t>
  </si>
  <si>
    <t>1.  Adoption Consultation Services:</t>
  </si>
  <si>
    <t>Adoption Assessment of a Child</t>
  </si>
  <si>
    <t>Adoption Assessment/Home Study of a Foster/relative family (with whom the child is placed)</t>
  </si>
  <si>
    <t>Adoption Assessment/Home Study of a relative (child is not in the home)</t>
  </si>
  <si>
    <t>MAPP training/Home Study of a referred person or couple</t>
  </si>
  <si>
    <t>Appearance fee</t>
  </si>
  <si>
    <t>MAPP Training only</t>
  </si>
  <si>
    <t>2.  Adoption Placement Case Management Services: </t>
  </si>
  <si>
    <t>Case acceptance/assignment</t>
  </si>
  <si>
    <t>Adoption Assessment of a child</t>
  </si>
  <si>
    <t>Adoption Assessment/Home Study of a family with whom the child is placed</t>
  </si>
  <si>
    <r>
      <t>Placement</t>
    </r>
    <r>
      <rPr>
        <sz val="11"/>
        <color rgb="FF000000"/>
        <rFont val="Times New Roman"/>
        <family val="1"/>
      </rPr>
      <t> </t>
    </r>
  </si>
  <si>
    <t>Mild</t>
  </si>
  <si>
    <t>Moderate</t>
  </si>
  <si>
    <t>Severe</t>
  </si>
  <si>
    <t>Family Development </t>
  </si>
  <si>
    <r>
      <t>Reevaluations</t>
    </r>
    <r>
      <rPr>
        <sz val="11"/>
        <color rgb="FF000000"/>
        <rFont val="Times New Roman"/>
        <family val="1"/>
      </rPr>
      <t> </t>
    </r>
  </si>
  <si>
    <r>
      <t>Child(ren)/Legalization</t>
    </r>
    <r>
      <rPr>
        <sz val="11"/>
        <color rgb="FF000000"/>
        <rFont val="Times New Roman"/>
        <family val="1"/>
      </rPr>
      <t> </t>
    </r>
  </si>
  <si>
    <t xml:space="preserve">Adjustment for a case held at least three years, but less than five. </t>
  </si>
  <si>
    <r>
      <t>Sibling Bonus in Same Home/Legalization</t>
    </r>
    <r>
      <rPr>
        <sz val="11"/>
        <color rgb="FF000000"/>
        <rFont val="Times New Roman"/>
        <family val="1"/>
      </rPr>
      <t> </t>
    </r>
  </si>
  <si>
    <t>Two siblings</t>
  </si>
  <si>
    <t>Three siblings</t>
  </si>
  <si>
    <t>Four siblings</t>
  </si>
  <si>
    <t>Five or more siblings</t>
  </si>
  <si>
    <t>Family Bonus for Provider's Home at Legalization per child, minimum of two children</t>
  </si>
  <si>
    <t>Closure</t>
  </si>
  <si>
    <t>Case Maintenance</t>
  </si>
  <si>
    <t>Delayed Adoption-legal Delay/Appeal</t>
  </si>
  <si>
    <t>Conflict of Interest Family Resource</t>
  </si>
  <si>
    <t xml:space="preserve">Transfer of case </t>
  </si>
  <si>
    <t>3.  Adoption Family Development Services: </t>
  </si>
  <si>
    <t>Purchase of Home</t>
  </si>
  <si>
    <t>Reuse of a Closed Home</t>
  </si>
  <si>
    <t>4.  Recruitment: </t>
  </si>
  <si>
    <t>Child-specific recruitment</t>
  </si>
  <si>
    <t>Child-specific recruitment renewal</t>
  </si>
  <si>
    <t>5.  Intervention Services (per Hour)</t>
  </si>
  <si>
    <t>6.  Interstate Cases: </t>
  </si>
  <si>
    <t>Home Study</t>
  </si>
  <si>
    <t>Assignment</t>
  </si>
  <si>
    <t>Case Supervision</t>
  </si>
  <si>
    <t>7.  Puerto Rico Cases: </t>
  </si>
  <si>
    <t>Family Evaluation Home Study in Puerto Rico</t>
  </si>
  <si>
    <t>Family Evaluation Home Study in Puerto Rico (Daily Rate)</t>
  </si>
  <si>
    <t>8.  International Cases: </t>
  </si>
  <si>
    <t xml:space="preserve">International Family Evaluation Home Study </t>
  </si>
  <si>
    <t xml:space="preserve">I.C. </t>
  </si>
  <si>
    <t>Prior UFR Data</t>
  </si>
  <si>
    <t>*Prior UFR Data sed as it is higher than most recent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</si>
</sst>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
    <numFmt numFmtId="165" formatCode="0.0%"/>
    <numFmt numFmtId="166" formatCode="&quot;$&quot;#,##0"/>
    <numFmt numFmtId="167" formatCode="&quot;$&quot;#,##0.00"/>
    <numFmt numFmtId="168" formatCode="[$-409]mmmm\ d\,\ yyyy;@"/>
    <numFmt numFmtId="169" formatCode="0.0"/>
    <numFmt numFmtId="170" formatCode="0.000"/>
    <numFmt numFmtId="171" formatCode="0.00000"/>
    <numFmt numFmtId="172" formatCode="_(&quot;$&quot;* #,##0_);_(&quot;$&quot;* \(#,##0\);_(&quot;$&quot;* &quot;-&quot;??_);_(@_)"/>
    <numFmt numFmtId="173" formatCode="\$#,##0.00"/>
    <numFmt numFmtId="174" formatCode="#,##0.0"/>
    <numFmt numFmtId="175" formatCode="_(* #,##0_);_(* \(#,##0\);_(* &quot;-&quot;??_);_(@_)"/>
  </numFmts>
  <fonts count="9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11"/>
      <color indexed="8"/>
      <name val="Aptos Narrow"/>
      <family val="2"/>
      <scheme val="minor"/>
    </font>
    <font>
      <sz val="11"/>
      <color indexed="8"/>
      <name val="Aptos Narrow"/>
      <family val="2"/>
      <scheme val="minor"/>
    </font>
    <font>
      <sz val="11"/>
      <name val="Aptos Narrow"/>
      <family val="2"/>
      <scheme val="minor"/>
    </font>
    <font>
      <b/>
      <sz val="11"/>
      <name val="Aptos Narrow"/>
      <family val="2"/>
      <scheme val="minor"/>
    </font>
    <font>
      <b/>
      <i/>
      <sz val="11"/>
      <color theme="1"/>
      <name val="Aptos Narrow"/>
      <family val="2"/>
      <scheme val="minor"/>
    </font>
    <font>
      <sz val="11"/>
      <color indexed="8"/>
      <name val="Calibri"/>
      <family val="2"/>
    </font>
    <font>
      <u/>
      <sz val="11"/>
      <color theme="1"/>
      <name val="Aptos Narrow"/>
      <family val="2"/>
      <scheme val="minor"/>
    </font>
    <font>
      <sz val="10"/>
      <name val="Arial"/>
      <family val="2"/>
    </font>
    <font>
      <sz val="11"/>
      <color rgb="FF000000"/>
      <name val="Aptos Narrow"/>
      <family val="2"/>
      <scheme val="minor"/>
    </font>
    <font>
      <i/>
      <sz val="11"/>
      <color theme="1"/>
      <name val="Aptos Narrow"/>
      <family val="2"/>
      <scheme val="minor"/>
    </font>
    <font>
      <b/>
      <sz val="11"/>
      <color theme="5"/>
      <name val="Aptos Narrow"/>
      <family val="2"/>
      <scheme val="minor"/>
    </font>
    <font>
      <b/>
      <sz val="9"/>
      <name val="Aptos Narrow"/>
      <family val="2"/>
      <scheme val="minor"/>
    </font>
    <font>
      <sz val="9"/>
      <name val="Aptos Narrow"/>
      <family val="2"/>
      <scheme val="minor"/>
    </font>
    <font>
      <sz val="9"/>
      <color theme="3" tint="0.39997558519241921"/>
      <name val="Aptos Narrow"/>
      <family val="2"/>
      <scheme val="minor"/>
    </font>
    <font>
      <sz val="9"/>
      <color theme="1"/>
      <name val="Aptos Narrow"/>
      <family val="2"/>
      <scheme val="minor"/>
    </font>
    <font>
      <sz val="8"/>
      <name val="Aptos Narrow"/>
      <family val="2"/>
      <scheme val="minor"/>
    </font>
    <font>
      <sz val="10"/>
      <color theme="1"/>
      <name val="Tahoma"/>
      <family val="2"/>
    </font>
    <font>
      <sz val="20"/>
      <color theme="1"/>
      <name val="Aptos Narrow"/>
      <family val="2"/>
      <scheme val="minor"/>
    </font>
    <font>
      <b/>
      <sz val="20"/>
      <name val="Aptos Narrow"/>
      <family val="2"/>
      <scheme val="minor"/>
    </font>
    <font>
      <b/>
      <sz val="20"/>
      <color rgb="FFFF0000"/>
      <name val="Aptos Narrow"/>
      <family val="2"/>
      <scheme val="minor"/>
    </font>
    <font>
      <b/>
      <sz val="20"/>
      <color theme="1"/>
      <name val="Aptos Narrow"/>
      <family val="2"/>
      <scheme val="minor"/>
    </font>
    <font>
      <b/>
      <i/>
      <sz val="20"/>
      <color theme="1"/>
      <name val="Aptos Narrow"/>
      <family val="2"/>
      <scheme val="minor"/>
    </font>
    <font>
      <sz val="20"/>
      <color rgb="FFFF0000"/>
      <name val="Aptos Narrow"/>
      <family val="2"/>
      <scheme val="minor"/>
    </font>
    <font>
      <b/>
      <sz val="14"/>
      <name val="Arial"/>
      <family val="2"/>
    </font>
    <font>
      <b/>
      <u/>
      <sz val="14"/>
      <name val="Arial"/>
      <family val="2"/>
    </font>
    <font>
      <sz val="14"/>
      <name val="Arial"/>
      <family val="2"/>
    </font>
    <font>
      <i/>
      <sz val="20"/>
      <color theme="1"/>
      <name val="Aptos Narrow"/>
      <family val="2"/>
      <scheme val="minor"/>
    </font>
    <font>
      <sz val="14"/>
      <color theme="1"/>
      <name val="Aptos Narrow"/>
      <family val="2"/>
      <scheme val="minor"/>
    </font>
    <font>
      <b/>
      <sz val="12"/>
      <color indexed="81"/>
      <name val="Tahoma"/>
      <family val="2"/>
    </font>
    <font>
      <sz val="10"/>
      <color indexed="81"/>
      <name val="Tahoma"/>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rgb="FF3F3F76"/>
      <name val="Aptos Narrow"/>
      <family val="2"/>
      <scheme val="minor"/>
    </font>
    <font>
      <sz val="11"/>
      <color rgb="FFFF0000"/>
      <name val="Aptos Narrow"/>
      <family val="2"/>
      <scheme val="minor"/>
    </font>
    <font>
      <b/>
      <sz val="12"/>
      <color theme="1"/>
      <name val="Aptos Narrow"/>
      <family val="2"/>
      <scheme val="minor"/>
    </font>
    <font>
      <sz val="12"/>
      <color theme="1"/>
      <name val="Aptos Narrow"/>
      <family val="2"/>
      <scheme val="minor"/>
    </font>
    <font>
      <b/>
      <sz val="12"/>
      <name val="Aptos Narrow"/>
      <family val="2"/>
      <scheme val="minor"/>
    </font>
    <font>
      <b/>
      <sz val="12"/>
      <color indexed="8"/>
      <name val="Aptos Narrow"/>
      <family val="2"/>
      <scheme val="minor"/>
    </font>
    <font>
      <sz val="12"/>
      <name val="Aptos Narrow"/>
      <family val="2"/>
      <scheme val="minor"/>
    </font>
    <font>
      <sz val="10"/>
      <color theme="1"/>
      <name val="Times New Roman"/>
      <family val="1"/>
    </font>
    <font>
      <sz val="12"/>
      <color rgb="FFFF0000"/>
      <name val="Aptos Narrow"/>
      <family val="2"/>
      <scheme val="minor"/>
    </font>
    <font>
      <b/>
      <sz val="11"/>
      <color rgb="FFFF0000"/>
      <name val="Aptos Narrow"/>
      <family val="2"/>
      <scheme val="minor"/>
    </font>
    <font>
      <sz val="10"/>
      <color theme="1"/>
      <name val="Aptos Narrow"/>
      <family val="2"/>
      <scheme val="minor"/>
    </font>
    <font>
      <b/>
      <sz val="10"/>
      <color theme="1"/>
      <name val="Times New Roman"/>
      <family val="1"/>
    </font>
    <font>
      <sz val="10"/>
      <name val="Times New Roman"/>
      <family val="1"/>
    </font>
    <font>
      <b/>
      <sz val="10"/>
      <name val="Calibri"/>
      <family val="2"/>
    </font>
    <font>
      <b/>
      <sz val="10"/>
      <name val="Times New Roman"/>
      <family val="1"/>
    </font>
    <font>
      <b/>
      <sz val="10"/>
      <color indexed="9"/>
      <name val="Arial"/>
      <family val="2"/>
    </font>
    <font>
      <sz val="12"/>
      <color indexed="8"/>
      <name val="Aptos Narrow"/>
      <family val="2"/>
      <scheme val="minor"/>
    </font>
    <font>
      <sz val="12"/>
      <color indexed="10"/>
      <name val="Aptos Narrow"/>
      <family val="2"/>
      <scheme val="minor"/>
    </font>
    <font>
      <b/>
      <sz val="12"/>
      <color indexed="12"/>
      <name val="Aptos Narrow"/>
      <family val="2"/>
      <scheme val="minor"/>
    </font>
    <font>
      <b/>
      <sz val="12"/>
      <color indexed="9"/>
      <name val="Aptos Narrow"/>
      <family val="2"/>
      <scheme val="minor"/>
    </font>
    <font>
      <b/>
      <u/>
      <sz val="12"/>
      <color indexed="8"/>
      <name val="Aptos Narrow"/>
      <family val="2"/>
      <scheme val="minor"/>
    </font>
    <font>
      <sz val="12"/>
      <color indexed="62"/>
      <name val="Aptos Narrow"/>
      <family val="2"/>
      <scheme val="minor"/>
    </font>
    <font>
      <b/>
      <u/>
      <sz val="12"/>
      <name val="Aptos Narrow"/>
      <family val="2"/>
      <scheme val="minor"/>
    </font>
    <font>
      <sz val="11"/>
      <color theme="1"/>
      <name val="Times New Roman"/>
      <family val="1"/>
    </font>
    <font>
      <sz val="11"/>
      <color indexed="9"/>
      <name val="Aptos Narrow"/>
      <family val="2"/>
      <scheme val="minor"/>
    </font>
    <font>
      <u/>
      <sz val="11"/>
      <name val="Aptos Narrow"/>
      <family val="2"/>
      <scheme val="minor"/>
    </font>
    <font>
      <sz val="12"/>
      <color theme="1"/>
      <name val="Times New Roman"/>
      <family val="1"/>
    </font>
    <font>
      <sz val="12"/>
      <name val="Times New Roman"/>
      <family val="1"/>
    </font>
    <font>
      <sz val="12"/>
      <name val="Arial"/>
      <family val="2"/>
    </font>
    <font>
      <b/>
      <sz val="12"/>
      <color theme="1"/>
      <name val="Times New Roman"/>
      <family val="1"/>
    </font>
    <font>
      <sz val="12"/>
      <color indexed="8"/>
      <name val="Arial"/>
      <family val="2"/>
    </font>
    <font>
      <b/>
      <u/>
      <sz val="12"/>
      <color indexed="8"/>
      <name val="Arial"/>
      <family val="2"/>
    </font>
    <font>
      <b/>
      <sz val="12"/>
      <name val="Calibri"/>
      <family val="2"/>
    </font>
    <font>
      <sz val="12"/>
      <color indexed="62"/>
      <name val="Arial"/>
      <family val="2"/>
    </font>
    <font>
      <b/>
      <sz val="12"/>
      <name val="Times New Roman"/>
      <family val="1"/>
    </font>
    <font>
      <b/>
      <u/>
      <sz val="12"/>
      <name val="Arial"/>
      <family val="2"/>
    </font>
    <font>
      <b/>
      <sz val="10"/>
      <color rgb="FF000000"/>
      <name val="Times New Roman"/>
      <family val="1"/>
    </font>
    <font>
      <sz val="9"/>
      <color rgb="FF000000"/>
      <name val="Times New Roman"/>
      <family val="1"/>
    </font>
    <font>
      <i/>
      <sz val="11"/>
      <name val="Aptos Narrow"/>
      <family val="2"/>
      <scheme val="minor"/>
    </font>
    <font>
      <sz val="10"/>
      <color indexed="8"/>
      <name val="Times New Roman"/>
      <family val="1"/>
    </font>
    <font>
      <sz val="9"/>
      <name val="Times New Roman"/>
      <family val="1"/>
    </font>
    <font>
      <sz val="9"/>
      <color theme="1"/>
      <name val="Times New Roman"/>
      <family val="1"/>
    </font>
    <font>
      <sz val="11"/>
      <name val="Arial"/>
      <family val="2"/>
    </font>
    <font>
      <b/>
      <sz val="11"/>
      <name val="Calibri"/>
      <family val="2"/>
    </font>
    <font>
      <sz val="10"/>
      <name val="Calibri"/>
      <family val="2"/>
    </font>
    <font>
      <sz val="11"/>
      <name val="Calibri"/>
      <family val="2"/>
    </font>
    <font>
      <u/>
      <sz val="11"/>
      <color theme="1"/>
      <name val="Times New Roman"/>
      <family val="1"/>
    </font>
    <font>
      <b/>
      <sz val="16"/>
      <color rgb="FFFF0000"/>
      <name val="Aptos Narrow"/>
      <family val="2"/>
      <scheme val="minor"/>
    </font>
    <font>
      <b/>
      <sz val="11"/>
      <color rgb="FF000000"/>
      <name val="Times New Roman"/>
      <family val="1"/>
    </font>
    <font>
      <b/>
      <u/>
      <sz val="11"/>
      <color theme="1"/>
      <name val="Aptos Narrow"/>
      <family val="2"/>
      <scheme val="minor"/>
    </font>
    <font>
      <sz val="11"/>
      <color rgb="FF000000"/>
      <name val="Times New Roman"/>
      <family val="1"/>
    </font>
  </fonts>
  <fills count="29">
    <fill>
      <patternFill patternType="none"/>
    </fill>
    <fill>
      <patternFill patternType="gray125"/>
    </fill>
    <fill>
      <patternFill patternType="solid">
        <fgColor theme="0" tint="-0.14999847407452621"/>
        <bgColor indexed="64"/>
      </patternFill>
    </fill>
    <fill>
      <patternFill patternType="solid">
        <fgColor indexed="47"/>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FFFCC"/>
        <bgColor indexed="64"/>
      </patternFill>
    </fill>
    <fill>
      <patternFill patternType="solid">
        <fgColor indexed="22"/>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rgb="FFFFCC99"/>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8" tint="0.39997558519241921"/>
        <bgColor indexed="64"/>
      </patternFill>
    </fill>
    <fill>
      <patternFill patternType="solid">
        <fgColor rgb="FFFFFFFF"/>
        <bgColor rgb="FF000000"/>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rgb="FF7F7F7F"/>
      </left>
      <right style="thin">
        <color rgb="FF7F7F7F"/>
      </right>
      <top style="thin">
        <color rgb="FF7F7F7F"/>
      </top>
      <bottom style="thin">
        <color rgb="FF7F7F7F"/>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medium">
        <color auto="1"/>
      </left>
      <right style="thin">
        <color indexed="23"/>
      </right>
      <top style="medium">
        <color auto="1"/>
      </top>
      <bottom style="thin">
        <color indexed="23"/>
      </bottom>
      <diagonal/>
    </border>
    <border>
      <left style="thin">
        <color indexed="23"/>
      </left>
      <right style="thin">
        <color indexed="23"/>
      </right>
      <top style="medium">
        <color auto="1"/>
      </top>
      <bottom style="thin">
        <color indexed="23"/>
      </bottom>
      <diagonal/>
    </border>
    <border>
      <left style="thin">
        <color indexed="23"/>
      </left>
      <right style="medium">
        <color auto="1"/>
      </right>
      <top style="medium">
        <color auto="1"/>
      </top>
      <bottom style="thin">
        <color indexed="23"/>
      </bottom>
      <diagonal/>
    </border>
    <border>
      <left style="thin">
        <color auto="1"/>
      </left>
      <right/>
      <top style="medium">
        <color auto="1"/>
      </top>
      <bottom style="thin">
        <color auto="1"/>
      </bottom>
      <diagonal/>
    </border>
    <border>
      <left style="thin">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indexed="23"/>
      </right>
      <top style="medium">
        <color auto="1"/>
      </top>
      <bottom style="thin">
        <color indexed="23"/>
      </bottom>
      <diagonal/>
    </border>
    <border>
      <left style="thin">
        <color indexed="23"/>
      </left>
      <right style="thin">
        <color indexed="23"/>
      </right>
      <top style="medium">
        <color auto="1"/>
      </top>
      <bottom style="thin">
        <color indexed="23"/>
      </bottom>
      <diagonal/>
    </border>
    <border>
      <left style="thin">
        <color indexed="23"/>
      </left>
      <right style="medium">
        <color auto="1"/>
      </right>
      <top style="medium">
        <color auto="1"/>
      </top>
      <bottom style="thin">
        <color indexed="23"/>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thin">
        <color auto="1"/>
      </left>
      <right style="thin">
        <color auto="1"/>
      </right>
      <top style="medium">
        <color auto="1"/>
      </top>
      <bottom style="medium">
        <color auto="1"/>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auto="1"/>
      </left>
      <right style="thin">
        <color rgb="FF7F7F7F"/>
      </right>
      <top style="medium">
        <color auto="1"/>
      </top>
      <bottom style="thin">
        <color auto="1"/>
      </bottom>
      <diagonal/>
    </border>
    <border>
      <left style="thin">
        <color rgb="FF7F7F7F"/>
      </left>
      <right style="thin">
        <color rgb="FF7F7F7F"/>
      </right>
      <top style="medium">
        <color auto="1"/>
      </top>
      <bottom style="thin">
        <color auto="1"/>
      </bottom>
      <diagonal/>
    </border>
    <border>
      <left style="thin">
        <color rgb="FF7F7F7F"/>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2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xf numFmtId="0" fontId="11" fillId="0" borderId="0"/>
    <xf numFmtId="0" fontId="1" fillId="0" borderId="0"/>
    <xf numFmtId="0" fontId="20" fillId="0" borderId="0"/>
    <xf numFmtId="0" fontId="1" fillId="0" borderId="0"/>
    <xf numFmtId="9" fontId="9"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43" fontId="1" fillId="0" borderId="0" applyFont="0" applyFill="0" applyBorder="0" applyAlignment="0" applyProtection="0"/>
    <xf numFmtId="0" fontId="41" fillId="21" borderId="33" applyNumberFormat="0" applyAlignment="0" applyProtection="0"/>
    <xf numFmtId="0" fontId="1" fillId="0" borderId="0"/>
    <xf numFmtId="44" fontId="9"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0" fontId="1" fillId="0" borderId="0"/>
    <xf numFmtId="9" fontId="9" fillId="0" borderId="0" applyFont="0" applyFill="0" applyBorder="0" applyAlignment="0" applyProtection="0"/>
    <xf numFmtId="44" fontId="1" fillId="0" borderId="0" applyFont="0" applyFill="0" applyBorder="0" applyAlignment="0" applyProtection="0"/>
    <xf numFmtId="9" fontId="83" fillId="0" borderId="0" applyFont="0" applyFill="0" applyBorder="0" applyAlignment="0" applyProtection="0"/>
  </cellStyleXfs>
  <cellXfs count="1273">
    <xf numFmtId="0" fontId="0" fillId="0" borderId="0" xfId="0"/>
    <xf numFmtId="0" fontId="2" fillId="0" borderId="2" xfId="3" applyFont="1" applyBorder="1"/>
    <xf numFmtId="0" fontId="5" fillId="0" borderId="6" xfId="3" applyFont="1" applyBorder="1"/>
    <xf numFmtId="0" fontId="6" fillId="0" borderId="7" xfId="3" applyFont="1" applyBorder="1" applyAlignment="1">
      <alignment horizontal="center" vertical="center"/>
    </xf>
    <xf numFmtId="0" fontId="6" fillId="0" borderId="7" xfId="3" applyFont="1" applyBorder="1"/>
    <xf numFmtId="3" fontId="6" fillId="0" borderId="8" xfId="3" applyNumberFormat="1" applyFont="1" applyBorder="1" applyAlignment="1">
      <alignment horizontal="center"/>
    </xf>
    <xf numFmtId="0" fontId="2" fillId="0" borderId="0" xfId="3" applyFont="1"/>
    <xf numFmtId="0" fontId="5" fillId="0" borderId="2" xfId="3" applyFont="1" applyBorder="1"/>
    <xf numFmtId="0" fontId="6" fillId="0" borderId="0" xfId="3" applyFont="1"/>
    <xf numFmtId="0" fontId="6" fillId="0" borderId="9" xfId="3" applyFont="1" applyBorder="1"/>
    <xf numFmtId="0" fontId="5" fillId="0" borderId="10" xfId="3" applyFont="1" applyBorder="1"/>
    <xf numFmtId="0" fontId="6" fillId="0" borderId="11" xfId="3" applyFont="1" applyBorder="1" applyAlignment="1">
      <alignment horizontal="center"/>
    </xf>
    <xf numFmtId="0" fontId="6" fillId="0" borderId="12" xfId="3" applyFont="1" applyBorder="1" applyAlignment="1">
      <alignment horizontal="center"/>
    </xf>
    <xf numFmtId="164" fontId="6" fillId="0" borderId="2" xfId="3" applyNumberFormat="1" applyFont="1" applyBorder="1"/>
    <xf numFmtId="42" fontId="6" fillId="0" borderId="0" xfId="3" applyNumberFormat="1" applyFont="1"/>
    <xf numFmtId="4" fontId="6" fillId="0" borderId="0" xfId="3" applyNumberFormat="1" applyFont="1"/>
    <xf numFmtId="42" fontId="6" fillId="0" borderId="9" xfId="3" applyNumberFormat="1" applyFont="1" applyBorder="1"/>
    <xf numFmtId="164" fontId="6" fillId="4" borderId="2" xfId="3" applyNumberFormat="1" applyFont="1" applyFill="1" applyBorder="1"/>
    <xf numFmtId="0" fontId="4" fillId="0" borderId="3" xfId="3" applyFont="1" applyBorder="1"/>
    <xf numFmtId="44" fontId="7" fillId="0" borderId="4" xfId="1" applyFont="1" applyBorder="1"/>
    <xf numFmtId="4" fontId="7" fillId="0" borderId="4" xfId="3" applyNumberFormat="1" applyFont="1" applyBorder="1"/>
    <xf numFmtId="42" fontId="7" fillId="0" borderId="5" xfId="3" applyNumberFormat="1" applyFont="1" applyBorder="1"/>
    <xf numFmtId="0" fontId="0" fillId="0" borderId="2" xfId="0" applyBorder="1"/>
    <xf numFmtId="0" fontId="0" fillId="0" borderId="9" xfId="0" applyBorder="1"/>
    <xf numFmtId="10" fontId="0" fillId="0" borderId="0" xfId="0" applyNumberFormat="1"/>
    <xf numFmtId="44" fontId="0" fillId="0" borderId="9" xfId="0" applyNumberFormat="1" applyBorder="1"/>
    <xf numFmtId="0" fontId="2" fillId="0" borderId="13" xfId="0" applyFont="1" applyBorder="1"/>
    <xf numFmtId="0" fontId="2" fillId="0" borderId="14" xfId="0" applyFont="1" applyBorder="1"/>
    <xf numFmtId="42" fontId="2" fillId="0" borderId="15" xfId="0" applyNumberFormat="1" applyFont="1" applyBorder="1"/>
    <xf numFmtId="0" fontId="0" fillId="0" borderId="6" xfId="0" applyBorder="1"/>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0" fillId="0" borderId="7" xfId="0" applyBorder="1"/>
    <xf numFmtId="44" fontId="0" fillId="0" borderId="0" xfId="1" applyFont="1" applyBorder="1"/>
    <xf numFmtId="44" fontId="0" fillId="0" borderId="8" xfId="0" applyNumberFormat="1" applyBorder="1"/>
    <xf numFmtId="4" fontId="0" fillId="0" borderId="0" xfId="0" applyNumberFormat="1"/>
    <xf numFmtId="44" fontId="0" fillId="0" borderId="0" xfId="0" applyNumberFormat="1"/>
    <xf numFmtId="0" fontId="5" fillId="4" borderId="2" xfId="3" applyFont="1" applyFill="1" applyBorder="1"/>
    <xf numFmtId="9" fontId="0" fillId="0" borderId="0" xfId="2" applyFont="1" applyBorder="1"/>
    <xf numFmtId="44" fontId="0" fillId="0" borderId="9" xfId="1" applyFont="1" applyBorder="1"/>
    <xf numFmtId="0" fontId="0" fillId="0" borderId="14" xfId="0" applyBorder="1"/>
    <xf numFmtId="44" fontId="0" fillId="0" borderId="15" xfId="0" applyNumberFormat="1" applyBorder="1"/>
    <xf numFmtId="0" fontId="2" fillId="0" borderId="0" xfId="0" applyFont="1" applyAlignment="1">
      <alignment horizontal="center"/>
    </xf>
    <xf numFmtId="10" fontId="0" fillId="0" borderId="0" xfId="2" applyNumberFormat="1" applyFont="1" applyFill="1" applyBorder="1"/>
    <xf numFmtId="44" fontId="0" fillId="0" borderId="0" xfId="1" applyFont="1" applyFill="1" applyBorder="1"/>
    <xf numFmtId="42" fontId="0" fillId="0" borderId="15" xfId="0" applyNumberFormat="1" applyBorder="1"/>
    <xf numFmtId="0" fontId="0" fillId="0" borderId="3" xfId="0" applyBorder="1"/>
    <xf numFmtId="10" fontId="0" fillId="0" borderId="4" xfId="0" applyNumberFormat="1" applyBorder="1"/>
    <xf numFmtId="0" fontId="0" fillId="0" borderId="4" xfId="0" applyBorder="1"/>
    <xf numFmtId="44" fontId="0" fillId="0" borderId="5" xfId="0" applyNumberFormat="1" applyBorder="1"/>
    <xf numFmtId="10" fontId="2" fillId="0" borderId="14" xfId="0" applyNumberFormat="1" applyFont="1" applyBorder="1"/>
    <xf numFmtId="44" fontId="2" fillId="0" borderId="15" xfId="0" applyNumberFormat="1" applyFont="1" applyBorder="1"/>
    <xf numFmtId="10" fontId="0" fillId="0" borderId="7" xfId="0" applyNumberFormat="1" applyBorder="1"/>
    <xf numFmtId="0" fontId="8" fillId="0" borderId="13" xfId="0" applyFont="1" applyBorder="1"/>
    <xf numFmtId="10" fontId="8" fillId="0" borderId="14" xfId="0" applyNumberFormat="1" applyFont="1" applyBorder="1"/>
    <xf numFmtId="0" fontId="8" fillId="0" borderId="14" xfId="0" applyFont="1" applyBorder="1"/>
    <xf numFmtId="44" fontId="8" fillId="5" borderId="15" xfId="0" applyNumberFormat="1" applyFont="1" applyFill="1" applyBorder="1"/>
    <xf numFmtId="0" fontId="2" fillId="6" borderId="0" xfId="0" applyFont="1" applyFill="1"/>
    <xf numFmtId="44" fontId="2" fillId="6" borderId="0" xfId="1" applyFont="1" applyFill="1"/>
    <xf numFmtId="10" fontId="0" fillId="6" borderId="0" xfId="2" applyNumberFormat="1" applyFont="1" applyFill="1"/>
    <xf numFmtId="0" fontId="9" fillId="0" borderId="1" xfId="4" applyBorder="1" applyAlignment="1">
      <alignment horizontal="center" vertical="center" wrapText="1"/>
    </xf>
    <xf numFmtId="0" fontId="9" fillId="0" borderId="0" xfId="4" applyAlignment="1">
      <alignment horizontal="center" vertical="center" wrapText="1"/>
    </xf>
    <xf numFmtId="0" fontId="0" fillId="0" borderId="0" xfId="0" applyAlignment="1">
      <alignment horizontal="center"/>
    </xf>
    <xf numFmtId="0" fontId="10" fillId="0" borderId="1" xfId="0" applyFont="1" applyBorder="1" applyAlignment="1">
      <alignment horizontal="center" vertical="center" wrapText="1"/>
    </xf>
    <xf numFmtId="164" fontId="6" fillId="0" borderId="1" xfId="5" applyNumberFormat="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7" borderId="1" xfId="0" applyFill="1" applyBorder="1" applyAlignment="1">
      <alignment horizontal="center"/>
    </xf>
    <xf numFmtId="0" fontId="0" fillId="7" borderId="19" xfId="0" applyFill="1" applyBorder="1" applyAlignment="1">
      <alignment horizontal="center"/>
    </xf>
    <xf numFmtId="6" fontId="12" fillId="7" borderId="19" xfId="0" applyNumberFormat="1" applyFont="1" applyFill="1" applyBorder="1" applyAlignment="1">
      <alignment horizontal="center" vertical="center" wrapText="1"/>
    </xf>
    <xf numFmtId="8" fontId="12" fillId="7" borderId="19" xfId="0" applyNumberFormat="1" applyFont="1" applyFill="1" applyBorder="1" applyAlignment="1">
      <alignment horizontal="center" vertical="center" wrapText="1"/>
    </xf>
    <xf numFmtId="9" fontId="12" fillId="7" borderId="19" xfId="2" applyFont="1" applyFill="1" applyBorder="1" applyAlignment="1">
      <alignment horizontal="center" vertical="center" wrapText="1"/>
    </xf>
    <xf numFmtId="10" fontId="12" fillId="7" borderId="19" xfId="2" applyNumberFormat="1" applyFont="1" applyFill="1" applyBorder="1" applyAlignment="1">
      <alignment horizontal="center" vertical="center" wrapText="1"/>
    </xf>
    <xf numFmtId="165" fontId="12" fillId="7" borderId="1" xfId="2" applyNumberFormat="1" applyFont="1" applyFill="1" applyBorder="1" applyAlignment="1">
      <alignment horizontal="center" vertical="center" wrapText="1"/>
    </xf>
    <xf numFmtId="0" fontId="0" fillId="8" borderId="1" xfId="0" applyFill="1" applyBorder="1" applyAlignment="1">
      <alignment horizontal="center"/>
    </xf>
    <xf numFmtId="6" fontId="12" fillId="7" borderId="1" xfId="0" applyNumberFormat="1" applyFont="1" applyFill="1" applyBorder="1" applyAlignment="1">
      <alignment horizontal="center" vertical="center" wrapText="1"/>
    </xf>
    <xf numFmtId="8" fontId="12" fillId="7" borderId="1" xfId="0" applyNumberFormat="1" applyFont="1" applyFill="1" applyBorder="1" applyAlignment="1">
      <alignment horizontal="center" vertical="center" wrapText="1"/>
    </xf>
    <xf numFmtId="0" fontId="0" fillId="9"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0" fontId="0" fillId="0" borderId="1" xfId="0" applyBorder="1" applyAlignment="1">
      <alignment horizontal="center"/>
    </xf>
    <xf numFmtId="6" fontId="12" fillId="0" borderId="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9" fontId="12" fillId="0" borderId="19" xfId="2" applyFont="1" applyBorder="1" applyAlignment="1">
      <alignment horizontal="center" vertical="center" wrapText="1"/>
    </xf>
    <xf numFmtId="10" fontId="12" fillId="0" borderId="19" xfId="2" applyNumberFormat="1" applyFont="1" applyBorder="1" applyAlignment="1">
      <alignment horizontal="center" vertical="center" wrapText="1"/>
    </xf>
    <xf numFmtId="8" fontId="12" fillId="0" borderId="19" xfId="0" applyNumberFormat="1" applyFont="1" applyBorder="1" applyAlignment="1">
      <alignment horizontal="center" vertical="center" wrapText="1"/>
    </xf>
    <xf numFmtId="6" fontId="12" fillId="0" borderId="19" xfId="0" applyNumberFormat="1" applyFont="1" applyBorder="1" applyAlignment="1">
      <alignment horizontal="center" vertical="center" wrapText="1"/>
    </xf>
    <xf numFmtId="165" fontId="12" fillId="0" borderId="1" xfId="2" applyNumberFormat="1" applyFont="1" applyBorder="1" applyAlignment="1">
      <alignment horizontal="center" vertical="center" wrapText="1"/>
    </xf>
    <xf numFmtId="6" fontId="12" fillId="8" borderId="1" xfId="0" applyNumberFormat="1" applyFont="1" applyFill="1" applyBorder="1" applyAlignment="1">
      <alignment horizontal="center" vertical="center" wrapText="1"/>
    </xf>
    <xf numFmtId="8" fontId="12" fillId="8" borderId="1" xfId="0" applyNumberFormat="1" applyFont="1" applyFill="1" applyBorder="1" applyAlignment="1">
      <alignment horizontal="center" vertical="center" wrapText="1"/>
    </xf>
    <xf numFmtId="9" fontId="12" fillId="8" borderId="19" xfId="2" applyFont="1" applyFill="1" applyBorder="1" applyAlignment="1">
      <alignment horizontal="center" vertical="center" wrapText="1"/>
    </xf>
    <xf numFmtId="10" fontId="12" fillId="8" borderId="19" xfId="2" applyNumberFormat="1" applyFont="1" applyFill="1" applyBorder="1" applyAlignment="1">
      <alignment horizontal="center" vertical="center" wrapText="1"/>
    </xf>
    <xf numFmtId="8" fontId="12" fillId="8" borderId="19" xfId="0" applyNumberFormat="1" applyFont="1" applyFill="1" applyBorder="1" applyAlignment="1">
      <alignment horizontal="center" vertical="center" wrapText="1"/>
    </xf>
    <xf numFmtId="6" fontId="12" fillId="8" borderId="19" xfId="0" applyNumberFormat="1" applyFont="1" applyFill="1" applyBorder="1" applyAlignment="1">
      <alignment horizontal="center" vertical="center" wrapText="1"/>
    </xf>
    <xf numFmtId="165" fontId="12" fillId="8" borderId="1" xfId="2" applyNumberFormat="1" applyFont="1" applyFill="1" applyBorder="1" applyAlignment="1">
      <alignment horizontal="center" vertical="center" wrapText="1"/>
    </xf>
    <xf numFmtId="6" fontId="12" fillId="9" borderId="1" xfId="0" applyNumberFormat="1" applyFont="1" applyFill="1" applyBorder="1" applyAlignment="1">
      <alignment horizontal="center" vertical="center" wrapText="1"/>
    </xf>
    <xf numFmtId="8" fontId="12" fillId="9" borderId="1" xfId="0" applyNumberFormat="1" applyFont="1" applyFill="1" applyBorder="1" applyAlignment="1">
      <alignment horizontal="center" vertical="center" wrapText="1"/>
    </xf>
    <xf numFmtId="9" fontId="12" fillId="9" borderId="19" xfId="2" applyFont="1" applyFill="1" applyBorder="1" applyAlignment="1">
      <alignment horizontal="center" vertical="center" wrapText="1"/>
    </xf>
    <xf numFmtId="10" fontId="12" fillId="9" borderId="19" xfId="2" applyNumberFormat="1" applyFont="1" applyFill="1" applyBorder="1" applyAlignment="1">
      <alignment horizontal="center" vertical="center" wrapText="1"/>
    </xf>
    <xf numFmtId="8" fontId="12" fillId="9" borderId="19" xfId="0" applyNumberFormat="1" applyFont="1" applyFill="1" applyBorder="1" applyAlignment="1">
      <alignment horizontal="center" vertical="center" wrapText="1"/>
    </xf>
    <xf numFmtId="6" fontId="12" fillId="9" borderId="19" xfId="0" applyNumberFormat="1" applyFont="1" applyFill="1" applyBorder="1" applyAlignment="1">
      <alignment horizontal="center" vertical="center" wrapText="1"/>
    </xf>
    <xf numFmtId="165" fontId="12" fillId="9" borderId="1" xfId="2" applyNumberFormat="1" applyFont="1" applyFill="1" applyBorder="1" applyAlignment="1">
      <alignment horizontal="center" vertical="center" wrapText="1"/>
    </xf>
    <xf numFmtId="10" fontId="12" fillId="0" borderId="19" xfId="2" applyNumberFormat="1" applyFont="1" applyFill="1" applyBorder="1" applyAlignment="1">
      <alignment horizontal="center" vertical="center" wrapText="1"/>
    </xf>
    <xf numFmtId="165" fontId="12" fillId="0" borderId="1" xfId="2" applyNumberFormat="1" applyFont="1" applyFill="1" applyBorder="1" applyAlignment="1">
      <alignment horizontal="center" vertical="center" wrapText="1"/>
    </xf>
    <xf numFmtId="6" fontId="12" fillId="10" borderId="1" xfId="0" applyNumberFormat="1" applyFont="1" applyFill="1" applyBorder="1" applyAlignment="1">
      <alignment horizontal="center" vertical="center" wrapText="1"/>
    </xf>
    <xf numFmtId="8" fontId="12" fillId="10" borderId="1" xfId="0" applyNumberFormat="1" applyFont="1" applyFill="1" applyBorder="1" applyAlignment="1">
      <alignment horizontal="center" vertical="center" wrapText="1"/>
    </xf>
    <xf numFmtId="9" fontId="12" fillId="10" borderId="19" xfId="2" applyFont="1" applyFill="1" applyBorder="1" applyAlignment="1">
      <alignment horizontal="center" vertical="center" wrapText="1"/>
    </xf>
    <xf numFmtId="10" fontId="12" fillId="10" borderId="19" xfId="2" applyNumberFormat="1" applyFont="1" applyFill="1" applyBorder="1" applyAlignment="1">
      <alignment horizontal="center" vertical="center" wrapText="1"/>
    </xf>
    <xf numFmtId="8" fontId="12" fillId="10" borderId="19" xfId="0" applyNumberFormat="1" applyFont="1" applyFill="1" applyBorder="1" applyAlignment="1">
      <alignment horizontal="center" vertical="center" wrapText="1"/>
    </xf>
    <xf numFmtId="6" fontId="12" fillId="10" borderId="19" xfId="0" applyNumberFormat="1" applyFont="1" applyFill="1" applyBorder="1" applyAlignment="1">
      <alignment horizontal="center" vertical="center" wrapText="1"/>
    </xf>
    <xf numFmtId="165" fontId="12" fillId="10" borderId="1" xfId="2" applyNumberFormat="1" applyFont="1" applyFill="1" applyBorder="1" applyAlignment="1">
      <alignment horizontal="center" vertical="center" wrapText="1"/>
    </xf>
    <xf numFmtId="6" fontId="12" fillId="11" borderId="1" xfId="0" applyNumberFormat="1" applyFont="1" applyFill="1" applyBorder="1" applyAlignment="1">
      <alignment horizontal="center" vertical="center" wrapText="1"/>
    </xf>
    <xf numFmtId="8" fontId="12" fillId="11" borderId="1" xfId="0" applyNumberFormat="1" applyFont="1" applyFill="1" applyBorder="1" applyAlignment="1">
      <alignment horizontal="center" vertical="center" wrapText="1"/>
    </xf>
    <xf numFmtId="9" fontId="12" fillId="11" borderId="19" xfId="2" applyFont="1" applyFill="1" applyBorder="1" applyAlignment="1">
      <alignment horizontal="center" vertical="center" wrapText="1"/>
    </xf>
    <xf numFmtId="10" fontId="12" fillId="11" borderId="19" xfId="2" applyNumberFormat="1" applyFont="1" applyFill="1" applyBorder="1" applyAlignment="1">
      <alignment horizontal="center" vertical="center" wrapText="1"/>
    </xf>
    <xf numFmtId="8" fontId="12" fillId="11" borderId="19" xfId="0" applyNumberFormat="1" applyFont="1" applyFill="1" applyBorder="1" applyAlignment="1">
      <alignment horizontal="center" vertical="center" wrapText="1"/>
    </xf>
    <xf numFmtId="6" fontId="12" fillId="11" borderId="19" xfId="0" applyNumberFormat="1" applyFont="1" applyFill="1" applyBorder="1" applyAlignment="1">
      <alignment horizontal="center" vertical="center" wrapText="1"/>
    </xf>
    <xf numFmtId="165" fontId="12" fillId="11" borderId="1" xfId="2" applyNumberFormat="1" applyFont="1" applyFill="1" applyBorder="1" applyAlignment="1">
      <alignment horizontal="center" vertical="center" wrapText="1"/>
    </xf>
    <xf numFmtId="0" fontId="13" fillId="0" borderId="0" xfId="0" applyFont="1" applyAlignment="1">
      <alignment horizontal="center" vertical="center" wrapText="1"/>
    </xf>
    <xf numFmtId="0" fontId="0" fillId="0" borderId="1" xfId="0" applyBorder="1"/>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xf numFmtId="44" fontId="0" fillId="0" borderId="1" xfId="0" applyNumberFormat="1" applyBorder="1" applyAlignment="1">
      <alignment horizontal="center"/>
    </xf>
    <xf numFmtId="10" fontId="0" fillId="0" borderId="1" xfId="0" applyNumberFormat="1" applyBorder="1" applyAlignment="1">
      <alignment horizontal="center"/>
    </xf>
    <xf numFmtId="1" fontId="0" fillId="0" borderId="1" xfId="0" applyNumberFormat="1" applyBorder="1" applyAlignment="1">
      <alignment horizontal="center"/>
    </xf>
    <xf numFmtId="44" fontId="0" fillId="6" borderId="1" xfId="0" applyNumberFormat="1" applyFill="1" applyBorder="1" applyAlignment="1">
      <alignment horizontal="center"/>
    </xf>
    <xf numFmtId="0" fontId="14" fillId="0" borderId="1" xfId="0" applyFont="1" applyBorder="1" applyAlignment="1">
      <alignment horizontal="center" vertical="center"/>
    </xf>
    <xf numFmtId="44" fontId="0" fillId="0" borderId="1" xfId="1" applyFont="1" applyFill="1" applyBorder="1" applyAlignment="1">
      <alignment horizontal="center"/>
    </xf>
    <xf numFmtId="0" fontId="2" fillId="0" borderId="1" xfId="0" applyFont="1" applyBorder="1" applyAlignment="1">
      <alignment horizontal="center" vertical="center"/>
    </xf>
    <xf numFmtId="10" fontId="0" fillId="0" borderId="1" xfId="2" applyNumberFormat="1" applyFont="1" applyBorder="1" applyAlignment="1">
      <alignment horizontal="center"/>
    </xf>
    <xf numFmtId="0" fontId="0" fillId="14" borderId="1" xfId="0" applyFill="1" applyBorder="1"/>
    <xf numFmtId="0" fontId="6" fillId="12" borderId="0" xfId="0" applyFont="1" applyFill="1"/>
    <xf numFmtId="0" fontId="0" fillId="12" borderId="0" xfId="0" applyFill="1" applyAlignment="1">
      <alignment horizontal="center"/>
    </xf>
    <xf numFmtId="0" fontId="0" fillId="12" borderId="0" xfId="0" applyFill="1" applyAlignment="1">
      <alignment horizontal="center" wrapText="1"/>
    </xf>
    <xf numFmtId="0" fontId="0" fillId="13" borderId="0" xfId="0" applyFill="1"/>
    <xf numFmtId="0" fontId="0" fillId="13" borderId="0" xfId="0" applyFill="1" applyAlignment="1">
      <alignment horizontal="center"/>
    </xf>
    <xf numFmtId="0" fontId="15" fillId="15" borderId="16" xfId="6" applyFont="1" applyFill="1" applyBorder="1"/>
    <xf numFmtId="0" fontId="15" fillId="15" borderId="17" xfId="6" applyFont="1" applyFill="1" applyBorder="1"/>
    <xf numFmtId="0" fontId="15" fillId="15" borderId="17" xfId="6" applyFont="1" applyFill="1" applyBorder="1" applyAlignment="1">
      <alignment horizontal="center"/>
    </xf>
    <xf numFmtId="164" fontId="15" fillId="15" borderId="18" xfId="6" applyNumberFormat="1" applyFont="1" applyFill="1" applyBorder="1" applyAlignment="1">
      <alignment horizontal="center"/>
    </xf>
    <xf numFmtId="0" fontId="16" fillId="15" borderId="20" xfId="6" applyFont="1" applyFill="1" applyBorder="1"/>
    <xf numFmtId="0" fontId="16" fillId="15" borderId="0" xfId="6" applyFont="1" applyFill="1" applyAlignment="1">
      <alignment horizontal="right"/>
    </xf>
    <xf numFmtId="0" fontId="17" fillId="15" borderId="0" xfId="6" applyFont="1" applyFill="1" applyAlignment="1">
      <alignment horizontal="center"/>
    </xf>
    <xf numFmtId="0" fontId="16" fillId="15" borderId="21" xfId="6" applyFont="1" applyFill="1" applyBorder="1" applyAlignment="1">
      <alignment horizontal="center"/>
    </xf>
    <xf numFmtId="0" fontId="18" fillId="0" borderId="0" xfId="0" applyFont="1"/>
    <xf numFmtId="0" fontId="16" fillId="15" borderId="22" xfId="6" applyFont="1" applyFill="1" applyBorder="1"/>
    <xf numFmtId="0" fontId="16" fillId="15" borderId="11" xfId="6" applyFont="1" applyFill="1" applyBorder="1" applyAlignment="1">
      <alignment horizontal="right"/>
    </xf>
    <xf numFmtId="1" fontId="17" fillId="15" borderId="11" xfId="6" applyNumberFormat="1" applyFont="1" applyFill="1" applyBorder="1" applyAlignment="1">
      <alignment horizontal="center"/>
    </xf>
    <xf numFmtId="1" fontId="16" fillId="15" borderId="23" xfId="6" applyNumberFormat="1" applyFont="1" applyFill="1" applyBorder="1" applyAlignment="1">
      <alignment horizontal="center"/>
    </xf>
    <xf numFmtId="0" fontId="18" fillId="0" borderId="0" xfId="0" applyFont="1" applyAlignment="1">
      <alignment horizontal="left"/>
    </xf>
    <xf numFmtId="0" fontId="16" fillId="15" borderId="22" xfId="6" applyFont="1" applyFill="1" applyBorder="1" applyAlignment="1">
      <alignment horizontal="left"/>
    </xf>
    <xf numFmtId="0" fontId="19" fillId="15" borderId="11" xfId="6" applyFont="1" applyFill="1" applyBorder="1" applyAlignment="1">
      <alignment horizontal="right"/>
    </xf>
    <xf numFmtId="0" fontId="16" fillId="15" borderId="23" xfId="6" applyFont="1" applyFill="1" applyBorder="1" applyAlignment="1">
      <alignment horizontal="center"/>
    </xf>
    <xf numFmtId="0" fontId="16" fillId="15" borderId="0" xfId="6" applyFont="1" applyFill="1"/>
    <xf numFmtId="1" fontId="16" fillId="15" borderId="21" xfId="6" applyNumberFormat="1" applyFont="1" applyFill="1" applyBorder="1" applyAlignment="1">
      <alignment horizontal="center"/>
    </xf>
    <xf numFmtId="0" fontId="16" fillId="15" borderId="24" xfId="6" applyFont="1" applyFill="1" applyBorder="1"/>
    <xf numFmtId="0" fontId="16" fillId="15" borderId="25" xfId="6" applyFont="1" applyFill="1" applyBorder="1"/>
    <xf numFmtId="0" fontId="16" fillId="15" borderId="25" xfId="6" applyFont="1" applyFill="1" applyBorder="1" applyAlignment="1">
      <alignment horizontal="right"/>
    </xf>
    <xf numFmtId="1" fontId="16" fillId="15" borderId="26" xfId="6" applyNumberFormat="1" applyFont="1" applyFill="1" applyBorder="1" applyAlignment="1">
      <alignment horizontal="center"/>
    </xf>
    <xf numFmtId="0" fontId="16" fillId="15" borderId="26" xfId="6" applyFont="1" applyFill="1" applyBorder="1" applyAlignment="1">
      <alignment horizontal="center"/>
    </xf>
    <xf numFmtId="0" fontId="0" fillId="0" borderId="19" xfId="0" applyBorder="1"/>
    <xf numFmtId="0" fontId="1" fillId="0" borderId="12" xfId="0" applyFont="1" applyBorder="1" applyAlignment="1">
      <alignment horizontal="center"/>
    </xf>
    <xf numFmtId="0" fontId="7" fillId="0" borderId="6" xfId="7" applyFont="1" applyBorder="1" applyAlignment="1">
      <alignment horizontal="center" vertical="center" wrapText="1"/>
    </xf>
    <xf numFmtId="0" fontId="7" fillId="0" borderId="7" xfId="7" applyFont="1" applyBorder="1" applyAlignment="1">
      <alignment horizontal="center" vertical="center" wrapText="1"/>
    </xf>
    <xf numFmtId="0" fontId="7" fillId="0" borderId="8" xfId="7" applyFont="1" applyBorder="1" applyAlignment="1">
      <alignment horizontal="center" vertical="center" wrapText="1"/>
    </xf>
    <xf numFmtId="2" fontId="0" fillId="0" borderId="0" xfId="0" applyNumberFormat="1" applyAlignment="1">
      <alignment horizontal="center" vertical="center"/>
    </xf>
    <xf numFmtId="166" fontId="0" fillId="0" borderId="9" xfId="0" applyNumberFormat="1" applyBorder="1"/>
    <xf numFmtId="0" fontId="0" fillId="11" borderId="2" xfId="0" applyFill="1" applyBorder="1"/>
    <xf numFmtId="44" fontId="0" fillId="11" borderId="0" xfId="1" applyFont="1" applyFill="1" applyBorder="1"/>
    <xf numFmtId="2" fontId="0" fillId="11" borderId="0" xfId="0" applyNumberFormat="1" applyFill="1" applyAlignment="1">
      <alignment horizontal="center" vertical="center"/>
    </xf>
    <xf numFmtId="166" fontId="0" fillId="11" borderId="9" xfId="0" applyNumberFormat="1" applyFill="1" applyBorder="1"/>
    <xf numFmtId="0" fontId="2" fillId="0" borderId="2" xfId="0" applyFont="1" applyBorder="1"/>
    <xf numFmtId="0" fontId="2" fillId="0" borderId="0" xfId="0" applyFont="1"/>
    <xf numFmtId="2" fontId="2" fillId="0" borderId="0" xfId="0" applyNumberFormat="1" applyFont="1"/>
    <xf numFmtId="166" fontId="2" fillId="0" borderId="9" xfId="1" applyNumberFormat="1" applyFont="1" applyBorder="1"/>
    <xf numFmtId="0" fontId="0" fillId="0" borderId="10" xfId="0" applyBorder="1"/>
    <xf numFmtId="10" fontId="0" fillId="0" borderId="11" xfId="2" applyNumberFormat="1" applyFont="1" applyFill="1" applyBorder="1"/>
    <xf numFmtId="0" fontId="0" fillId="0" borderId="11" xfId="0" applyBorder="1"/>
    <xf numFmtId="166" fontId="0" fillId="0" borderId="12" xfId="0" applyNumberFormat="1" applyBorder="1"/>
    <xf numFmtId="0" fontId="2" fillId="0" borderId="3" xfId="0" applyFont="1" applyBorder="1"/>
    <xf numFmtId="166" fontId="2" fillId="0" borderId="5" xfId="0" applyNumberFormat="1" applyFont="1" applyBorder="1"/>
    <xf numFmtId="0" fontId="7" fillId="0" borderId="2" xfId="0" applyFont="1" applyBorder="1"/>
    <xf numFmtId="2" fontId="0" fillId="0" borderId="0" xfId="0" applyNumberFormat="1" applyAlignment="1">
      <alignment horizontal="center"/>
    </xf>
    <xf numFmtId="167" fontId="0" fillId="0" borderId="9" xfId="0" applyNumberFormat="1" applyBorder="1"/>
    <xf numFmtId="0" fontId="0" fillId="0" borderId="2" xfId="0" applyBorder="1" applyAlignment="1">
      <alignment wrapText="1"/>
    </xf>
    <xf numFmtId="0" fontId="0" fillId="11" borderId="0" xfId="0" applyFill="1" applyAlignment="1">
      <alignment horizontal="center"/>
    </xf>
    <xf numFmtId="0" fontId="0" fillId="11" borderId="9" xfId="0" applyFill="1" applyBorder="1"/>
    <xf numFmtId="0" fontId="0" fillId="0" borderId="12" xfId="0" applyBorder="1"/>
    <xf numFmtId="167" fontId="2" fillId="0" borderId="5" xfId="0" applyNumberFormat="1" applyFont="1" applyBorder="1"/>
    <xf numFmtId="0" fontId="2" fillId="0" borderId="6" xfId="0" applyFont="1" applyBorder="1"/>
    <xf numFmtId="0" fontId="2" fillId="0" borderId="7" xfId="0" applyFont="1" applyBorder="1"/>
    <xf numFmtId="166" fontId="2" fillId="0" borderId="8" xfId="0" applyNumberFormat="1" applyFont="1" applyBorder="1"/>
    <xf numFmtId="0" fontId="0" fillId="0" borderId="6" xfId="0" applyBorder="1" applyAlignment="1">
      <alignment horizontal="left" vertical="center"/>
    </xf>
    <xf numFmtId="10" fontId="0" fillId="0" borderId="7" xfId="2" applyNumberFormat="1" applyFont="1" applyFill="1" applyBorder="1"/>
    <xf numFmtId="167" fontId="0" fillId="0" borderId="8" xfId="0" applyNumberFormat="1" applyBorder="1"/>
    <xf numFmtId="0" fontId="0" fillId="0" borderId="10" xfId="0" applyBorder="1" applyAlignment="1">
      <alignment horizontal="left" vertical="center"/>
    </xf>
    <xf numFmtId="167" fontId="0" fillId="0" borderId="12" xfId="0" applyNumberFormat="1" applyBorder="1"/>
    <xf numFmtId="166" fontId="2" fillId="0" borderId="9" xfId="0" applyNumberFormat="1" applyFont="1" applyBorder="1"/>
    <xf numFmtId="0" fontId="7" fillId="0" borderId="3" xfId="7" applyFont="1" applyBorder="1" applyAlignment="1">
      <alignment vertical="center"/>
    </xf>
    <xf numFmtId="0" fontId="2" fillId="0" borderId="4" xfId="0" applyFont="1" applyBorder="1"/>
    <xf numFmtId="0" fontId="7" fillId="0" borderId="0" xfId="7" applyFont="1" applyAlignment="1">
      <alignment vertical="center"/>
    </xf>
    <xf numFmtId="167" fontId="2" fillId="0" borderId="0" xfId="0" applyNumberFormat="1" applyFont="1"/>
    <xf numFmtId="0" fontId="2" fillId="0" borderId="1" xfId="0" applyFont="1" applyBorder="1"/>
    <xf numFmtId="44" fontId="0" fillId="0" borderId="1" xfId="1" applyFont="1" applyBorder="1"/>
    <xf numFmtId="44" fontId="0" fillId="0" borderId="1" xfId="0" applyNumberFormat="1" applyBorder="1"/>
    <xf numFmtId="9" fontId="0" fillId="0" borderId="1" xfId="2" applyFont="1" applyBorder="1" applyAlignment="1">
      <alignment horizontal="center" vertical="center"/>
    </xf>
    <xf numFmtId="0" fontId="0" fillId="0" borderId="27" xfId="0" applyBorder="1"/>
    <xf numFmtId="44" fontId="0" fillId="0" borderId="27" xfId="1" applyFont="1" applyBorder="1"/>
    <xf numFmtId="44" fontId="0" fillId="0" borderId="1" xfId="1" applyFont="1" applyFill="1" applyBorder="1"/>
    <xf numFmtId="0" fontId="0" fillId="11" borderId="19" xfId="0" applyFill="1" applyBorder="1"/>
    <xf numFmtId="44" fontId="0" fillId="11" borderId="19" xfId="1" applyFont="1" applyFill="1" applyBorder="1"/>
    <xf numFmtId="44" fontId="0" fillId="11" borderId="1" xfId="0" applyNumberFormat="1" applyFill="1" applyBorder="1"/>
    <xf numFmtId="9" fontId="0" fillId="11" borderId="1" xfId="2" applyFont="1" applyFill="1" applyBorder="1" applyAlignment="1">
      <alignment horizontal="center" vertical="center"/>
    </xf>
    <xf numFmtId="0" fontId="0" fillId="11" borderId="1" xfId="0" applyFill="1" applyBorder="1"/>
    <xf numFmtId="44" fontId="0" fillId="11" borderId="1" xfId="1" applyFont="1" applyFill="1" applyBorder="1"/>
    <xf numFmtId="0" fontId="21" fillId="0" borderId="0" xfId="8" applyFont="1"/>
    <xf numFmtId="0" fontId="22" fillId="0" borderId="0" xfId="8" applyFont="1" applyAlignment="1">
      <alignment horizontal="center"/>
    </xf>
    <xf numFmtId="0" fontId="21" fillId="0" borderId="0" xfId="8" applyFont="1" applyAlignment="1">
      <alignment wrapText="1"/>
    </xf>
    <xf numFmtId="17" fontId="23" fillId="0" borderId="0" xfId="8" applyNumberFormat="1" applyFont="1" applyAlignment="1">
      <alignment horizontal="center"/>
    </xf>
    <xf numFmtId="168" fontId="24" fillId="0" borderId="0" xfId="8" applyNumberFormat="1" applyFont="1" applyAlignment="1">
      <alignment horizontal="left" vertical="top"/>
    </xf>
    <xf numFmtId="0" fontId="24" fillId="0" borderId="0" xfId="8" applyFont="1" applyAlignment="1">
      <alignment horizontal="center"/>
    </xf>
    <xf numFmtId="0" fontId="24" fillId="0" borderId="0" xfId="8" applyFont="1"/>
    <xf numFmtId="9" fontId="24" fillId="0" borderId="0" xfId="8" applyNumberFormat="1" applyFont="1" applyAlignment="1">
      <alignment horizontal="center" wrapText="1"/>
    </xf>
    <xf numFmtId="0" fontId="24" fillId="0" borderId="0" xfId="8" applyFont="1" applyAlignment="1">
      <alignment horizontal="left" wrapText="1"/>
    </xf>
    <xf numFmtId="0" fontId="25" fillId="0" borderId="16" xfId="8" applyFont="1" applyBorder="1"/>
    <xf numFmtId="167" fontId="21" fillId="0" borderId="29" xfId="8" applyNumberFormat="1" applyFont="1" applyBorder="1" applyAlignment="1">
      <alignment horizontal="center"/>
    </xf>
    <xf numFmtId="0" fontId="25" fillId="0" borderId="24" xfId="8" applyFont="1" applyBorder="1"/>
    <xf numFmtId="166" fontId="21" fillId="0" borderId="25" xfId="8" applyNumberFormat="1" applyFont="1" applyBorder="1" applyAlignment="1">
      <alignment horizontal="center"/>
    </xf>
    <xf numFmtId="0" fontId="21" fillId="0" borderId="16" xfId="8" applyFont="1" applyBorder="1"/>
    <xf numFmtId="0" fontId="21" fillId="0" borderId="17" xfId="8" applyFont="1" applyBorder="1"/>
    <xf numFmtId="0" fontId="21" fillId="0" borderId="20" xfId="8" applyFont="1" applyBorder="1"/>
    <xf numFmtId="166" fontId="21" fillId="0" borderId="0" xfId="8" applyNumberFormat="1" applyFont="1" applyAlignment="1">
      <alignment horizontal="center"/>
    </xf>
    <xf numFmtId="0" fontId="21" fillId="0" borderId="24" xfId="8" applyFont="1" applyBorder="1"/>
    <xf numFmtId="0" fontId="21" fillId="0" borderId="25" xfId="8" applyFont="1" applyBorder="1"/>
    <xf numFmtId="0" fontId="21" fillId="0" borderId="16" xfId="8" applyFont="1" applyBorder="1" applyAlignment="1">
      <alignment wrapText="1"/>
    </xf>
    <xf numFmtId="0" fontId="21" fillId="0" borderId="24" xfId="8" applyFont="1" applyBorder="1" applyAlignment="1">
      <alignment wrapText="1"/>
    </xf>
    <xf numFmtId="166" fontId="26" fillId="0" borderId="25" xfId="8" applyNumberFormat="1" applyFont="1" applyBorder="1" applyAlignment="1">
      <alignment horizontal="center"/>
    </xf>
    <xf numFmtId="167" fontId="21" fillId="0" borderId="17" xfId="8" applyNumberFormat="1" applyFont="1" applyBorder="1" applyAlignment="1">
      <alignment horizontal="center"/>
    </xf>
    <xf numFmtId="167" fontId="21" fillId="0" borderId="0" xfId="8" applyNumberFormat="1" applyFont="1" applyAlignment="1">
      <alignment horizontal="center"/>
    </xf>
    <xf numFmtId="0" fontId="25" fillId="0" borderId="20" xfId="8" applyFont="1" applyBorder="1"/>
    <xf numFmtId="0" fontId="27" fillId="0" borderId="16" xfId="0" applyFont="1" applyBorder="1"/>
    <xf numFmtId="0" fontId="28" fillId="0" borderId="18" xfId="0" applyFont="1" applyBorder="1"/>
    <xf numFmtId="0" fontId="27" fillId="0" borderId="20" xfId="0" applyFont="1" applyBorder="1"/>
    <xf numFmtId="0" fontId="27" fillId="0" borderId="0" xfId="0" applyFont="1" applyAlignment="1">
      <alignment horizontal="center"/>
    </xf>
    <xf numFmtId="164" fontId="27" fillId="0" borderId="0" xfId="0" applyNumberFormat="1" applyFont="1" applyAlignment="1">
      <alignment horizontal="center"/>
    </xf>
    <xf numFmtId="1" fontId="27" fillId="0" borderId="21" xfId="0" applyNumberFormat="1" applyFont="1" applyBorder="1" applyAlignment="1">
      <alignment horizontal="right"/>
    </xf>
    <xf numFmtId="0" fontId="29" fillId="0" borderId="20" xfId="0" applyFont="1" applyBorder="1"/>
    <xf numFmtId="0" fontId="29" fillId="0" borderId="0" xfId="0" applyFont="1" applyAlignment="1">
      <alignment horizontal="center"/>
    </xf>
    <xf numFmtId="0" fontId="30" fillId="0" borderId="0" xfId="8" applyFont="1" applyAlignment="1">
      <alignment horizontal="right" wrapText="1"/>
    </xf>
    <xf numFmtId="0" fontId="29" fillId="0" borderId="22" xfId="0" applyFont="1" applyBorder="1"/>
    <xf numFmtId="0" fontId="29" fillId="0" borderId="11" xfId="0" applyFont="1" applyBorder="1" applyAlignment="1">
      <alignment horizontal="center"/>
    </xf>
    <xf numFmtId="1" fontId="27" fillId="0" borderId="23" xfId="0" applyNumberFormat="1" applyFont="1" applyBorder="1" applyAlignment="1">
      <alignment horizontal="right"/>
    </xf>
    <xf numFmtId="0" fontId="21" fillId="0" borderId="0" xfId="8" applyFont="1" applyAlignment="1">
      <alignment horizontal="center"/>
    </xf>
    <xf numFmtId="0" fontId="29" fillId="0" borderId="0" xfId="0" applyFont="1" applyAlignment="1">
      <alignment horizontal="right"/>
    </xf>
    <xf numFmtId="169" fontId="27" fillId="0" borderId="21" xfId="0" applyNumberFormat="1" applyFont="1" applyBorder="1" applyAlignment="1">
      <alignment horizontal="right"/>
    </xf>
    <xf numFmtId="0" fontId="21" fillId="0" borderId="0" xfId="8" applyFont="1" applyAlignment="1">
      <alignment horizontal="right"/>
    </xf>
    <xf numFmtId="10" fontId="21" fillId="0" borderId="0" xfId="2" applyNumberFormat="1" applyFont="1" applyAlignment="1">
      <alignment horizontal="center"/>
    </xf>
    <xf numFmtId="0" fontId="29" fillId="0" borderId="24" xfId="0" applyFont="1" applyBorder="1"/>
    <xf numFmtId="0" fontId="29" fillId="0" borderId="25" xfId="0" applyFont="1" applyBorder="1" applyAlignment="1">
      <alignment horizontal="right"/>
    </xf>
    <xf numFmtId="165" fontId="29" fillId="0" borderId="25" xfId="9" applyNumberFormat="1" applyFont="1" applyBorder="1" applyAlignment="1">
      <alignment horizontal="center"/>
    </xf>
    <xf numFmtId="165" fontId="29" fillId="0" borderId="26" xfId="9" quotePrefix="1" applyNumberFormat="1" applyFont="1" applyBorder="1" applyAlignment="1">
      <alignment horizontal="center"/>
    </xf>
    <xf numFmtId="9" fontId="21" fillId="0" borderId="0" xfId="2" applyFont="1" applyAlignment="1">
      <alignment horizontal="center"/>
    </xf>
    <xf numFmtId="9" fontId="21" fillId="0" borderId="0" xfId="2" applyFont="1"/>
    <xf numFmtId="0" fontId="25" fillId="0" borderId="0" xfId="8" applyFont="1" applyAlignment="1">
      <alignment horizontal="right"/>
    </xf>
    <xf numFmtId="6" fontId="21" fillId="0" borderId="0" xfId="8" applyNumberFormat="1" applyFont="1" applyAlignment="1">
      <alignment horizontal="center"/>
    </xf>
    <xf numFmtId="0" fontId="24" fillId="0" borderId="0" xfId="8" applyFont="1" applyAlignment="1">
      <alignment horizontal="right"/>
    </xf>
    <xf numFmtId="0" fontId="24" fillId="0" borderId="0" xfId="8" applyFont="1" applyAlignment="1">
      <alignment horizontal="right" vertical="top"/>
    </xf>
    <xf numFmtId="0" fontId="31" fillId="0" borderId="0" xfId="8" applyFont="1"/>
    <xf numFmtId="167" fontId="31" fillId="0" borderId="0" xfId="8" applyNumberFormat="1" applyFont="1"/>
    <xf numFmtId="0" fontId="11" fillId="0" borderId="0" xfId="10"/>
    <xf numFmtId="0" fontId="34" fillId="16" borderId="0" xfId="10" applyFont="1" applyFill="1"/>
    <xf numFmtId="0" fontId="35" fillId="16" borderId="21" xfId="10" applyFont="1" applyFill="1" applyBorder="1"/>
    <xf numFmtId="0" fontId="36" fillId="16" borderId="25" xfId="10" applyFont="1" applyFill="1" applyBorder="1"/>
    <xf numFmtId="0" fontId="35" fillId="16" borderId="26" xfId="10" applyFont="1" applyFill="1" applyBorder="1"/>
    <xf numFmtId="0" fontId="35" fillId="0" borderId="0" xfId="10" applyFont="1"/>
    <xf numFmtId="0" fontId="37" fillId="17" borderId="0" xfId="11" applyFont="1" applyFill="1" applyAlignment="1">
      <alignment horizontal="center"/>
    </xf>
    <xf numFmtId="0" fontId="37" fillId="18" borderId="0" xfId="11" applyFont="1" applyFill="1" applyAlignment="1">
      <alignment horizontal="center"/>
    </xf>
    <xf numFmtId="0" fontId="37" fillId="19" borderId="0" xfId="11" applyFont="1" applyFill="1" applyAlignment="1">
      <alignment horizontal="center"/>
    </xf>
    <xf numFmtId="0" fontId="37" fillId="20" borderId="0" xfId="11" applyFont="1" applyFill="1" applyAlignment="1">
      <alignment horizontal="center"/>
    </xf>
    <xf numFmtId="14" fontId="35" fillId="0" borderId="0" xfId="10" applyNumberFormat="1" applyFont="1"/>
    <xf numFmtId="170" fontId="11" fillId="0" borderId="0" xfId="10" applyNumberFormat="1"/>
    <xf numFmtId="2" fontId="11" fillId="0" borderId="0" xfId="10" applyNumberFormat="1"/>
    <xf numFmtId="169" fontId="11" fillId="0" borderId="0" xfId="10" applyNumberFormat="1"/>
    <xf numFmtId="0" fontId="11" fillId="0" borderId="0" xfId="11"/>
    <xf numFmtId="0" fontId="35" fillId="0" borderId="0" xfId="12" applyFont="1"/>
    <xf numFmtId="0" fontId="11" fillId="0" borderId="0" xfId="12"/>
    <xf numFmtId="0" fontId="38" fillId="0" borderId="0" xfId="12" applyFont="1"/>
    <xf numFmtId="0" fontId="39" fillId="0" borderId="0" xfId="12" applyFont="1"/>
    <xf numFmtId="0" fontId="11" fillId="0" borderId="6" xfId="12" applyBorder="1"/>
    <xf numFmtId="0" fontId="11" fillId="0" borderId="7" xfId="12" applyBorder="1"/>
    <xf numFmtId="0" fontId="11" fillId="0" borderId="8" xfId="12" applyBorder="1"/>
    <xf numFmtId="0" fontId="11" fillId="0" borderId="2" xfId="12" applyBorder="1"/>
    <xf numFmtId="0" fontId="11" fillId="0" borderId="0" xfId="12" applyAlignment="1">
      <alignment horizontal="right"/>
    </xf>
    <xf numFmtId="0" fontId="35" fillId="0" borderId="0" xfId="12" applyFont="1" applyAlignment="1">
      <alignment horizontal="center"/>
    </xf>
    <xf numFmtId="0" fontId="11" fillId="0" borderId="9" xfId="12" applyBorder="1"/>
    <xf numFmtId="14" fontId="35" fillId="0" borderId="0" xfId="11" applyNumberFormat="1" applyFont="1" applyAlignment="1">
      <alignment horizontal="center"/>
    </xf>
    <xf numFmtId="0" fontId="40" fillId="0" borderId="9" xfId="12" applyFont="1" applyBorder="1" applyAlignment="1">
      <alignment horizontal="center"/>
    </xf>
    <xf numFmtId="170" fontId="11" fillId="0" borderId="30" xfId="11" applyNumberFormat="1" applyBorder="1"/>
    <xf numFmtId="0" fontId="11" fillId="0" borderId="31" xfId="12" applyBorder="1"/>
    <xf numFmtId="170" fontId="11" fillId="0" borderId="9" xfId="12" applyNumberFormat="1" applyBorder="1" applyAlignment="1">
      <alignment horizontal="center"/>
    </xf>
    <xf numFmtId="0" fontId="11" fillId="0" borderId="2" xfId="12" applyBorder="1" applyAlignment="1">
      <alignment horizontal="right"/>
    </xf>
    <xf numFmtId="10" fontId="0" fillId="0" borderId="0" xfId="2" applyNumberFormat="1" applyFont="1"/>
    <xf numFmtId="170" fontId="11" fillId="0" borderId="32" xfId="11" applyNumberFormat="1" applyBorder="1"/>
    <xf numFmtId="0" fontId="11" fillId="0" borderId="9" xfId="12" applyBorder="1" applyAlignment="1">
      <alignment horizontal="center"/>
    </xf>
    <xf numFmtId="0" fontId="35" fillId="6" borderId="0" xfId="12" applyFont="1" applyFill="1" applyAlignment="1">
      <alignment horizontal="right"/>
    </xf>
    <xf numFmtId="10" fontId="35" fillId="6" borderId="9" xfId="13" applyNumberFormat="1" applyFont="1" applyFill="1" applyBorder="1" applyAlignment="1">
      <alignment horizontal="center"/>
    </xf>
    <xf numFmtId="171" fontId="11" fillId="0" borderId="0" xfId="10" applyNumberFormat="1"/>
    <xf numFmtId="0" fontId="11" fillId="0" borderId="10" xfId="12" applyBorder="1"/>
    <xf numFmtId="0" fontId="11" fillId="0" borderId="11" xfId="12" applyBorder="1"/>
    <xf numFmtId="0" fontId="11" fillId="0" borderId="12" xfId="12" applyBorder="1"/>
    <xf numFmtId="0" fontId="44" fillId="0" borderId="0" xfId="0" applyFont="1"/>
    <xf numFmtId="0" fontId="45" fillId="0" borderId="38" xfId="16" applyFont="1" applyBorder="1" applyAlignment="1">
      <alignment horizontal="center" vertical="center"/>
    </xf>
    <xf numFmtId="0" fontId="43" fillId="0" borderId="20" xfId="0" applyFont="1" applyBorder="1" applyAlignment="1">
      <alignment horizontal="center"/>
    </xf>
    <xf numFmtId="0" fontId="43" fillId="0" borderId="0" xfId="0" applyFont="1" applyAlignment="1">
      <alignment horizontal="center"/>
    </xf>
    <xf numFmtId="0" fontId="46" fillId="0" borderId="0" xfId="5" applyFont="1" applyAlignment="1">
      <alignment horizontal="center" wrapText="1"/>
    </xf>
    <xf numFmtId="38" fontId="43" fillId="0" borderId="21" xfId="0" applyNumberFormat="1" applyFont="1" applyBorder="1" applyAlignment="1">
      <alignment horizontal="center"/>
    </xf>
    <xf numFmtId="0" fontId="45" fillId="0" borderId="20" xfId="16" applyFont="1" applyBorder="1" applyAlignment="1">
      <alignment horizontal="center"/>
    </xf>
    <xf numFmtId="0" fontId="45" fillId="0" borderId="0" xfId="16" applyFont="1" applyAlignment="1">
      <alignment horizontal="center" wrapText="1"/>
    </xf>
    <xf numFmtId="0" fontId="45" fillId="0" borderId="21" xfId="16" applyFont="1" applyBorder="1" applyAlignment="1">
      <alignment horizontal="center" wrapText="1"/>
    </xf>
    <xf numFmtId="164" fontId="44" fillId="0" borderId="20" xfId="0" applyNumberFormat="1" applyFont="1" applyBorder="1"/>
    <xf numFmtId="172" fontId="44" fillId="0" borderId="0" xfId="17" applyNumberFormat="1" applyFont="1" applyFill="1" applyBorder="1" applyAlignment="1">
      <alignment horizontal="center"/>
    </xf>
    <xf numFmtId="39" fontId="44" fillId="0" borderId="0" xfId="18" applyNumberFormat="1" applyFont="1" applyFill="1" applyBorder="1" applyAlignment="1">
      <alignment horizontal="center"/>
    </xf>
    <xf numFmtId="172" fontId="44" fillId="0" borderId="21" xfId="18" applyNumberFormat="1" applyFont="1" applyFill="1" applyBorder="1" applyAlignment="1">
      <alignment horizontal="right"/>
    </xf>
    <xf numFmtId="2" fontId="44" fillId="0" borderId="0" xfId="18" applyNumberFormat="1" applyFont="1" applyFill="1" applyBorder="1" applyAlignment="1">
      <alignment horizontal="center"/>
    </xf>
    <xf numFmtId="0" fontId="43" fillId="0" borderId="13" xfId="0" applyFont="1" applyBorder="1"/>
    <xf numFmtId="5" fontId="44" fillId="0" borderId="14" xfId="17" applyNumberFormat="1" applyFont="1" applyFill="1" applyBorder="1" applyAlignment="1">
      <alignment horizontal="center"/>
    </xf>
    <xf numFmtId="2" fontId="43" fillId="0" borderId="14" xfId="0" applyNumberFormat="1" applyFont="1" applyBorder="1" applyAlignment="1">
      <alignment horizontal="center"/>
    </xf>
    <xf numFmtId="172" fontId="43" fillId="0" borderId="15" xfId="18" applyNumberFormat="1" applyFont="1" applyFill="1" applyBorder="1"/>
    <xf numFmtId="0" fontId="44" fillId="0" borderId="20" xfId="0" applyFont="1" applyBorder="1"/>
    <xf numFmtId="172" fontId="43" fillId="0" borderId="21" xfId="18" applyNumberFormat="1" applyFont="1" applyFill="1" applyBorder="1"/>
    <xf numFmtId="0" fontId="44" fillId="0" borderId="22" xfId="0" applyFont="1" applyBorder="1"/>
    <xf numFmtId="0" fontId="44" fillId="0" borderId="11" xfId="0" applyFont="1" applyBorder="1" applyAlignment="1">
      <alignment horizontal="center"/>
    </xf>
    <xf numFmtId="10" fontId="44" fillId="0" borderId="11" xfId="19" applyNumberFormat="1" applyFont="1" applyFill="1" applyBorder="1" applyAlignment="1">
      <alignment horizontal="center"/>
    </xf>
    <xf numFmtId="172" fontId="44" fillId="0" borderId="23" xfId="18" applyNumberFormat="1" applyFont="1" applyFill="1" applyBorder="1"/>
    <xf numFmtId="0" fontId="44" fillId="0" borderId="39" xfId="0" applyFont="1" applyBorder="1"/>
    <xf numFmtId="0" fontId="44" fillId="0" borderId="40" xfId="0" applyFont="1" applyBorder="1" applyAlignment="1">
      <alignment horizontal="center"/>
    </xf>
    <xf numFmtId="172" fontId="43" fillId="0" borderId="41" xfId="18" applyNumberFormat="1" applyFont="1" applyFill="1" applyBorder="1"/>
    <xf numFmtId="10" fontId="44" fillId="0" borderId="0" xfId="0" applyNumberFormat="1" applyFont="1" applyAlignment="1">
      <alignment horizontal="center"/>
    </xf>
    <xf numFmtId="172" fontId="44" fillId="0" borderId="21" xfId="0" applyNumberFormat="1" applyFont="1" applyBorder="1"/>
    <xf numFmtId="0" fontId="44" fillId="0" borderId="0" xfId="0" applyFont="1" applyAlignment="1">
      <alignment horizontal="center"/>
    </xf>
    <xf numFmtId="172" fontId="44" fillId="0" borderId="21" xfId="18" applyNumberFormat="1" applyFont="1" applyFill="1" applyBorder="1"/>
    <xf numFmtId="0" fontId="47" fillId="0" borderId="24" xfId="16" applyFont="1" applyBorder="1"/>
    <xf numFmtId="0" fontId="47" fillId="0" borderId="0" xfId="16" applyFont="1"/>
    <xf numFmtId="0" fontId="47" fillId="0" borderId="0" xfId="5" applyFont="1"/>
    <xf numFmtId="167" fontId="47" fillId="0" borderId="0" xfId="19" applyNumberFormat="1" applyFont="1" applyFill="1" applyBorder="1" applyAlignment="1">
      <alignment horizontal="center"/>
    </xf>
    <xf numFmtId="0" fontId="43" fillId="0" borderId="42" xfId="0" applyFont="1" applyBorder="1"/>
    <xf numFmtId="0" fontId="44" fillId="0" borderId="43" xfId="0" applyFont="1" applyBorder="1" applyAlignment="1">
      <alignment horizontal="center"/>
    </xf>
    <xf numFmtId="172" fontId="43" fillId="0" borderId="44" xfId="18" applyNumberFormat="1" applyFont="1" applyFill="1" applyBorder="1"/>
    <xf numFmtId="167" fontId="49" fillId="0" borderId="0" xfId="5" applyNumberFormat="1" applyFont="1"/>
    <xf numFmtId="10" fontId="44" fillId="0" borderId="0" xfId="19" applyNumberFormat="1" applyFont="1" applyFill="1" applyBorder="1" applyAlignment="1">
      <alignment horizontal="center"/>
    </xf>
    <xf numFmtId="167" fontId="44" fillId="0" borderId="0" xfId="0" applyNumberFormat="1" applyFont="1"/>
    <xf numFmtId="0" fontId="44" fillId="0" borderId="24" xfId="0" applyFont="1" applyBorder="1"/>
    <xf numFmtId="10" fontId="44" fillId="0" borderId="25" xfId="0" applyNumberFormat="1" applyFont="1" applyBorder="1" applyAlignment="1">
      <alignment horizontal="center"/>
    </xf>
    <xf numFmtId="44" fontId="43" fillId="6" borderId="26" xfId="18" applyFont="1" applyFill="1" applyBorder="1"/>
    <xf numFmtId="44" fontId="43" fillId="0" borderId="0" xfId="18" applyFont="1" applyFill="1" applyBorder="1"/>
    <xf numFmtId="0" fontId="44" fillId="0" borderId="50" xfId="0" applyFont="1" applyBorder="1"/>
    <xf numFmtId="0" fontId="47" fillId="0" borderId="0" xfId="0" applyFont="1"/>
    <xf numFmtId="8" fontId="44" fillId="0" borderId="54" xfId="0" applyNumberFormat="1" applyFont="1" applyBorder="1" applyAlignment="1">
      <alignment wrapText="1"/>
    </xf>
    <xf numFmtId="0" fontId="44" fillId="0" borderId="13" xfId="0" applyFont="1" applyBorder="1"/>
    <xf numFmtId="0" fontId="2" fillId="0" borderId="20" xfId="0" applyFont="1" applyBorder="1" applyAlignment="1">
      <alignment horizontal="center"/>
    </xf>
    <xf numFmtId="0" fontId="4" fillId="0" borderId="0" xfId="5" applyFont="1" applyAlignment="1">
      <alignment horizontal="center" wrapText="1"/>
    </xf>
    <xf numFmtId="38" fontId="2" fillId="0" borderId="21" xfId="0" applyNumberFormat="1" applyFont="1" applyBorder="1" applyAlignment="1">
      <alignment horizontal="center"/>
    </xf>
    <xf numFmtId="0" fontId="7" fillId="0" borderId="20" xfId="16" applyFont="1" applyBorder="1" applyAlignment="1">
      <alignment horizontal="center"/>
    </xf>
    <xf numFmtId="0" fontId="7" fillId="0" borderId="0" xfId="16" applyFont="1" applyAlignment="1">
      <alignment horizontal="center" wrapText="1"/>
    </xf>
    <xf numFmtId="0" fontId="7" fillId="0" borderId="21" xfId="16" applyFont="1" applyBorder="1" applyAlignment="1">
      <alignment horizontal="center" wrapText="1"/>
    </xf>
    <xf numFmtId="0" fontId="6" fillId="0" borderId="0" xfId="5" applyFont="1"/>
    <xf numFmtId="2" fontId="2" fillId="0" borderId="14" xfId="0" applyNumberFormat="1" applyFont="1" applyBorder="1" applyAlignment="1">
      <alignment horizontal="center"/>
    </xf>
    <xf numFmtId="172" fontId="2" fillId="0" borderId="41" xfId="18" applyNumberFormat="1" applyFont="1" applyFill="1" applyBorder="1"/>
    <xf numFmtId="44" fontId="2" fillId="6" borderId="26" xfId="18" applyFont="1" applyFill="1" applyBorder="1"/>
    <xf numFmtId="0" fontId="11" fillId="0" borderId="0" xfId="5"/>
    <xf numFmtId="0" fontId="51" fillId="0" borderId="0" xfId="0" applyFont="1"/>
    <xf numFmtId="164" fontId="48" fillId="0" borderId="20" xfId="0" applyNumberFormat="1" applyFont="1" applyBorder="1"/>
    <xf numFmtId="0" fontId="35" fillId="0" borderId="0" xfId="0" applyFont="1" applyAlignment="1">
      <alignment horizontal="center"/>
    </xf>
    <xf numFmtId="0" fontId="48" fillId="0" borderId="39" xfId="0" applyFont="1" applyBorder="1"/>
    <xf numFmtId="0" fontId="11" fillId="0" borderId="0" xfId="0" applyFont="1"/>
    <xf numFmtId="0" fontId="48" fillId="0" borderId="20" xfId="0" applyFont="1" applyBorder="1"/>
    <xf numFmtId="0" fontId="48" fillId="0" borderId="0" xfId="0" applyFont="1"/>
    <xf numFmtId="10" fontId="48" fillId="0" borderId="0" xfId="0" applyNumberFormat="1" applyFont="1" applyAlignment="1">
      <alignment horizontal="center"/>
    </xf>
    <xf numFmtId="0" fontId="48" fillId="0" borderId="24" xfId="0" applyFont="1" applyBorder="1"/>
    <xf numFmtId="0" fontId="54" fillId="0" borderId="0" xfId="0" applyFont="1"/>
    <xf numFmtId="164" fontId="40" fillId="0" borderId="0" xfId="0" applyNumberFormat="1" applyFont="1" applyAlignment="1">
      <alignment horizontal="center" wrapText="1"/>
    </xf>
    <xf numFmtId="0" fontId="35" fillId="0" borderId="0" xfId="0" applyFont="1" applyAlignment="1">
      <alignment horizontal="center" wrapText="1"/>
    </xf>
    <xf numFmtId="0" fontId="56" fillId="0" borderId="0" xfId="0" applyFont="1"/>
    <xf numFmtId="0" fontId="51" fillId="0" borderId="0" xfId="0" applyFont="1" applyAlignment="1">
      <alignment wrapText="1"/>
    </xf>
    <xf numFmtId="2" fontId="51" fillId="0" borderId="0" xfId="0" applyNumberFormat="1" applyFont="1"/>
    <xf numFmtId="44" fontId="51" fillId="0" borderId="0" xfId="0" applyNumberFormat="1" applyFont="1"/>
    <xf numFmtId="8" fontId="51" fillId="0" borderId="0" xfId="0" applyNumberFormat="1" applyFont="1"/>
    <xf numFmtId="44" fontId="35" fillId="0" borderId="0" xfId="21" applyFont="1" applyFill="1" applyBorder="1" applyAlignment="1">
      <alignment wrapText="1"/>
    </xf>
    <xf numFmtId="44" fontId="35" fillId="0" borderId="0" xfId="21" applyFont="1" applyFill="1" applyBorder="1"/>
    <xf numFmtId="10" fontId="35" fillId="0" borderId="0" xfId="13" applyNumberFormat="1" applyFont="1" applyFill="1" applyBorder="1"/>
    <xf numFmtId="0" fontId="57" fillId="0" borderId="0" xfId="0" applyFont="1"/>
    <xf numFmtId="0" fontId="44" fillId="0" borderId="0" xfId="0" applyFont="1" applyAlignment="1">
      <alignment horizontal="left"/>
    </xf>
    <xf numFmtId="0" fontId="47" fillId="0" borderId="0" xfId="15" applyFont="1" applyFill="1" applyBorder="1" applyAlignment="1">
      <alignment horizontal="center"/>
    </xf>
    <xf numFmtId="0" fontId="44" fillId="0" borderId="20" xfId="0" applyFont="1" applyBorder="1" applyAlignment="1">
      <alignment horizontal="center"/>
    </xf>
    <xf numFmtId="0" fontId="57" fillId="0" borderId="0" xfId="5" applyFont="1" applyAlignment="1">
      <alignment horizontal="center" wrapText="1"/>
    </xf>
    <xf numFmtId="38" fontId="44" fillId="0" borderId="21" xfId="0" applyNumberFormat="1" applyFont="1" applyBorder="1" applyAlignment="1">
      <alignment horizontal="center"/>
    </xf>
    <xf numFmtId="172" fontId="47" fillId="0" borderId="0" xfId="17" applyNumberFormat="1" applyFont="1" applyFill="1" applyBorder="1"/>
    <xf numFmtId="3" fontId="46" fillId="0" borderId="0" xfId="0" applyNumberFormat="1" applyFont="1"/>
    <xf numFmtId="0" fontId="45" fillId="0" borderId="13" xfId="16" applyFont="1" applyBorder="1" applyAlignment="1">
      <alignment horizontal="center"/>
    </xf>
    <xf numFmtId="0" fontId="45" fillId="0" borderId="14" xfId="16" applyFont="1" applyBorder="1" applyAlignment="1">
      <alignment horizontal="center" wrapText="1"/>
    </xf>
    <xf numFmtId="0" fontId="45" fillId="0" borderId="15" xfId="16" applyFont="1" applyBorder="1" applyAlignment="1">
      <alignment horizontal="center" wrapText="1"/>
    </xf>
    <xf numFmtId="39" fontId="44" fillId="0" borderId="0" xfId="17" applyNumberFormat="1" applyFont="1" applyFill="1" applyBorder="1" applyAlignment="1">
      <alignment horizontal="center"/>
    </xf>
    <xf numFmtId="172" fontId="44" fillId="0" borderId="21" xfId="18" applyNumberFormat="1" applyFont="1" applyBorder="1" applyAlignment="1">
      <alignment horizontal="right"/>
    </xf>
    <xf numFmtId="0" fontId="47" fillId="0" borderId="20" xfId="16" applyFont="1" applyBorder="1"/>
    <xf numFmtId="0" fontId="46" fillId="0" borderId="0" xfId="0" applyFont="1" applyAlignment="1">
      <alignment horizontal="center"/>
    </xf>
    <xf numFmtId="172" fontId="47" fillId="0" borderId="9" xfId="17" applyNumberFormat="1" applyFont="1" applyFill="1" applyBorder="1"/>
    <xf numFmtId="42" fontId="57" fillId="0" borderId="0" xfId="0" applyNumberFormat="1" applyFont="1"/>
    <xf numFmtId="169" fontId="44" fillId="0" borderId="20" xfId="0" applyNumberFormat="1" applyFont="1" applyBorder="1" applyAlignment="1">
      <alignment wrapText="1"/>
    </xf>
    <xf numFmtId="172" fontId="44" fillId="0" borderId="0" xfId="18" applyNumberFormat="1" applyFont="1" applyFill="1" applyBorder="1" applyAlignment="1">
      <alignment horizontal="center"/>
    </xf>
    <xf numFmtId="172" fontId="47" fillId="0" borderId="12" xfId="17" applyNumberFormat="1" applyFont="1" applyFill="1" applyBorder="1"/>
    <xf numFmtId="172" fontId="57" fillId="0" borderId="0" xfId="17" applyNumberFormat="1" applyFont="1" applyBorder="1"/>
    <xf numFmtId="4" fontId="44" fillId="0" borderId="0" xfId="18" applyNumberFormat="1" applyFont="1" applyFill="1" applyBorder="1" applyAlignment="1">
      <alignment horizontal="center"/>
    </xf>
    <xf numFmtId="172" fontId="57" fillId="0" borderId="0" xfId="17" applyNumberFormat="1" applyFont="1" applyFill="1"/>
    <xf numFmtId="0" fontId="44" fillId="0" borderId="7" xfId="0" applyFont="1" applyBorder="1" applyAlignment="1">
      <alignment horizontal="center"/>
    </xf>
    <xf numFmtId="0" fontId="44" fillId="0" borderId="20" xfId="0" applyFont="1" applyBorder="1" applyAlignment="1">
      <alignment horizontal="right"/>
    </xf>
    <xf numFmtId="0" fontId="44" fillId="0" borderId="9" xfId="0" applyFont="1" applyBorder="1" applyAlignment="1">
      <alignment horizontal="center"/>
    </xf>
    <xf numFmtId="172" fontId="43" fillId="0" borderId="15" xfId="18" applyNumberFormat="1" applyFont="1" applyBorder="1"/>
    <xf numFmtId="2" fontId="44" fillId="0" borderId="0" xfId="0" applyNumberFormat="1" applyFont="1" applyAlignment="1">
      <alignment horizontal="center"/>
    </xf>
    <xf numFmtId="2" fontId="47" fillId="0" borderId="9" xfId="5" applyNumberFormat="1" applyFont="1" applyBorder="1" applyAlignment="1">
      <alignment horizontal="center"/>
    </xf>
    <xf numFmtId="0" fontId="58" fillId="0" borderId="0" xfId="0" applyFont="1"/>
    <xf numFmtId="172" fontId="44" fillId="0" borderId="23" xfId="18" applyNumberFormat="1" applyFont="1" applyBorder="1"/>
    <xf numFmtId="42" fontId="46" fillId="0" borderId="0" xfId="0" applyNumberFormat="1" applyFont="1"/>
    <xf numFmtId="172" fontId="43" fillId="0" borderId="41" xfId="18" applyNumberFormat="1" applyFont="1" applyBorder="1"/>
    <xf numFmtId="7" fontId="44" fillId="0" borderId="0" xfId="0" applyNumberFormat="1" applyFont="1" applyAlignment="1">
      <alignment horizontal="center"/>
    </xf>
    <xf numFmtId="9" fontId="57" fillId="0" borderId="0" xfId="2" applyFont="1" applyFill="1" applyBorder="1"/>
    <xf numFmtId="2" fontId="44" fillId="0" borderId="11" xfId="0" applyNumberFormat="1" applyFont="1" applyBorder="1" applyAlignment="1">
      <alignment horizontal="center"/>
    </xf>
    <xf numFmtId="2" fontId="47" fillId="0" borderId="12" xfId="5" applyNumberFormat="1" applyFont="1" applyBorder="1" applyAlignment="1">
      <alignment horizontal="center"/>
    </xf>
    <xf numFmtId="172" fontId="43" fillId="0" borderId="44" xfId="18" applyNumberFormat="1" applyFont="1" applyBorder="1"/>
    <xf numFmtId="10" fontId="44" fillId="0" borderId="0" xfId="19" applyNumberFormat="1" applyFont="1" applyBorder="1" applyAlignment="1">
      <alignment horizontal="center"/>
    </xf>
    <xf numFmtId="172" fontId="44" fillId="0" borderId="21" xfId="18" applyNumberFormat="1" applyFont="1" applyBorder="1"/>
    <xf numFmtId="10" fontId="44" fillId="0" borderId="27" xfId="19" applyNumberFormat="1" applyFont="1" applyFill="1" applyBorder="1" applyAlignment="1">
      <alignment horizontal="center"/>
    </xf>
    <xf numFmtId="0" fontId="47" fillId="0" borderId="0" xfId="5" applyFont="1" applyAlignment="1">
      <alignment horizontal="right"/>
    </xf>
    <xf numFmtId="44" fontId="47" fillId="0" borderId="0" xfId="17" applyFont="1"/>
    <xf numFmtId="10" fontId="47" fillId="0" borderId="0" xfId="2" applyNumberFormat="1" applyFont="1" applyAlignment="1">
      <alignment horizontal="left"/>
    </xf>
    <xf numFmtId="7" fontId="44" fillId="0" borderId="0" xfId="18" applyNumberFormat="1" applyFont="1" applyBorder="1" applyAlignment="1">
      <alignment horizontal="center"/>
    </xf>
    <xf numFmtId="10" fontId="44" fillId="0" borderId="28" xfId="19" applyNumberFormat="1" applyFont="1" applyFill="1" applyBorder="1" applyAlignment="1">
      <alignment horizontal="center"/>
    </xf>
    <xf numFmtId="172" fontId="57" fillId="0" borderId="0" xfId="0" applyNumberFormat="1" applyFont="1"/>
    <xf numFmtId="44" fontId="44" fillId="0" borderId="0" xfId="18" applyFont="1" applyFill="1" applyBorder="1"/>
    <xf numFmtId="7" fontId="44" fillId="0" borderId="19" xfId="17" applyNumberFormat="1" applyFont="1" applyFill="1" applyBorder="1" applyAlignment="1">
      <alignment horizontal="center"/>
    </xf>
    <xf numFmtId="0" fontId="49" fillId="0" borderId="20" xfId="0" applyFont="1" applyBorder="1" applyAlignment="1">
      <alignment horizontal="left" wrapText="1"/>
    </xf>
    <xf numFmtId="10" fontId="49" fillId="0" borderId="27" xfId="17" applyNumberFormat="1" applyFont="1" applyFill="1" applyBorder="1" applyAlignment="1">
      <alignment horizontal="center"/>
    </xf>
    <xf numFmtId="44" fontId="57" fillId="0" borderId="0" xfId="21" applyFont="1" applyFill="1" applyBorder="1"/>
    <xf numFmtId="0" fontId="47" fillId="0" borderId="51" xfId="16" applyFont="1" applyBorder="1"/>
    <xf numFmtId="0" fontId="47" fillId="0" borderId="64" xfId="16" applyFont="1" applyBorder="1"/>
    <xf numFmtId="0" fontId="47" fillId="0" borderId="13" xfId="0" applyFont="1" applyBorder="1"/>
    <xf numFmtId="44" fontId="57" fillId="0" borderId="0" xfId="21" applyFont="1" applyBorder="1"/>
    <xf numFmtId="0" fontId="47" fillId="0" borderId="20" xfId="0" applyFont="1" applyBorder="1"/>
    <xf numFmtId="164" fontId="45" fillId="0" borderId="0" xfId="0" applyNumberFormat="1" applyFont="1" applyAlignment="1">
      <alignment horizontal="center"/>
    </xf>
    <xf numFmtId="0" fontId="47" fillId="0" borderId="16" xfId="0" applyFont="1" applyBorder="1"/>
    <xf numFmtId="8" fontId="47" fillId="25" borderId="18" xfId="0" applyNumberFormat="1" applyFont="1" applyFill="1" applyBorder="1" applyAlignment="1">
      <alignment wrapText="1"/>
    </xf>
    <xf numFmtId="8" fontId="45" fillId="25" borderId="18" xfId="0" applyNumberFormat="1" applyFont="1" applyFill="1" applyBorder="1"/>
    <xf numFmtId="1" fontId="59" fillId="0" borderId="0" xfId="0" applyNumberFormat="1" applyFont="1" applyAlignment="1">
      <alignment horizontal="right"/>
    </xf>
    <xf numFmtId="167" fontId="47" fillId="25" borderId="21" xfId="1" applyNumberFormat="1" applyFont="1" applyFill="1" applyBorder="1" applyAlignment="1">
      <alignment wrapText="1"/>
    </xf>
    <xf numFmtId="0" fontId="47" fillId="0" borderId="24" xfId="0" applyFont="1" applyBorder="1"/>
    <xf numFmtId="44" fontId="47" fillId="25" borderId="26" xfId="0" applyNumberFormat="1" applyFont="1" applyFill="1" applyBorder="1" applyAlignment="1">
      <alignment wrapText="1"/>
    </xf>
    <xf numFmtId="8" fontId="47" fillId="0" borderId="14" xfId="0" applyNumberFormat="1" applyFont="1" applyBorder="1" applyAlignment="1">
      <alignment wrapText="1"/>
    </xf>
    <xf numFmtId="167" fontId="45" fillId="6" borderId="15" xfId="0" applyNumberFormat="1" applyFont="1" applyFill="1" applyBorder="1"/>
    <xf numFmtId="10" fontId="47" fillId="0" borderId="0" xfId="2" applyNumberFormat="1" applyFont="1" applyFill="1" applyBorder="1" applyAlignment="1">
      <alignment horizontal="left"/>
    </xf>
    <xf numFmtId="44" fontId="57" fillId="0" borderId="0" xfId="17" applyFont="1"/>
    <xf numFmtId="44" fontId="47" fillId="0" borderId="14" xfId="0" applyNumberFormat="1" applyFont="1" applyBorder="1" applyAlignment="1">
      <alignment wrapText="1"/>
    </xf>
    <xf numFmtId="44" fontId="45" fillId="6" borderId="15" xfId="0" applyNumberFormat="1" applyFont="1" applyFill="1" applyBorder="1"/>
    <xf numFmtId="169" fontId="47" fillId="0" borderId="0" xfId="0" applyNumberFormat="1" applyFont="1"/>
    <xf numFmtId="44" fontId="57" fillId="0" borderId="0" xfId="17" applyFont="1" applyBorder="1"/>
    <xf numFmtId="0" fontId="44" fillId="0" borderId="0" xfId="0" applyFont="1" applyAlignment="1">
      <alignment wrapText="1"/>
    </xf>
    <xf numFmtId="0" fontId="45" fillId="0" borderId="0" xfId="0" applyFont="1" applyAlignment="1">
      <alignment horizontal="center" wrapText="1"/>
    </xf>
    <xf numFmtId="0" fontId="45" fillId="0" borderId="0" xfId="0" applyFont="1" applyAlignment="1">
      <alignment horizontal="center"/>
    </xf>
    <xf numFmtId="0" fontId="60" fillId="0" borderId="0" xfId="0" applyFont="1"/>
    <xf numFmtId="0" fontId="45" fillId="0" borderId="0" xfId="0" applyFont="1"/>
    <xf numFmtId="172" fontId="57" fillId="0" borderId="0" xfId="22" applyNumberFormat="1" applyFont="1" applyBorder="1"/>
    <xf numFmtId="2" fontId="44" fillId="0" borderId="0" xfId="0" applyNumberFormat="1" applyFont="1"/>
    <xf numFmtId="44" fontId="44" fillId="0" borderId="0" xfId="0" applyNumberFormat="1" applyFont="1"/>
    <xf numFmtId="0" fontId="47" fillId="0" borderId="0" xfId="0" applyFont="1" applyAlignment="1">
      <alignment wrapText="1"/>
    </xf>
    <xf numFmtId="2" fontId="47" fillId="0" borderId="0" xfId="0" applyNumberFormat="1" applyFont="1"/>
    <xf numFmtId="44" fontId="47" fillId="0" borderId="0" xfId="0" applyNumberFormat="1" applyFont="1"/>
    <xf numFmtId="6" fontId="44" fillId="0" borderId="0" xfId="0" applyNumberFormat="1" applyFont="1"/>
    <xf numFmtId="8" fontId="44" fillId="0" borderId="0" xfId="0" applyNumberFormat="1" applyFont="1"/>
    <xf numFmtId="8" fontId="47" fillId="0" borderId="0" xfId="0" applyNumberFormat="1" applyFont="1"/>
    <xf numFmtId="44" fontId="45" fillId="0" borderId="0" xfId="21" applyFont="1" applyFill="1" applyBorder="1" applyAlignment="1">
      <alignment wrapText="1"/>
    </xf>
    <xf numFmtId="44" fontId="45" fillId="0" borderId="0" xfId="21" applyFont="1" applyFill="1" applyBorder="1"/>
    <xf numFmtId="10" fontId="45" fillId="0" borderId="0" xfId="13" applyNumberFormat="1" applyFont="1" applyFill="1" applyBorder="1"/>
    <xf numFmtId="167" fontId="47" fillId="0" borderId="0" xfId="23" applyNumberFormat="1" applyFont="1"/>
    <xf numFmtId="44" fontId="57" fillId="0" borderId="0" xfId="17" applyFont="1" applyFill="1" applyBorder="1"/>
    <xf numFmtId="0" fontId="31" fillId="0" borderId="0" xfId="0" applyFont="1"/>
    <xf numFmtId="0" fontId="58" fillId="0" borderId="0" xfId="5" applyFont="1" applyAlignment="1">
      <alignment horizontal="center"/>
    </xf>
    <xf numFmtId="164" fontId="45" fillId="0" borderId="16" xfId="0" applyNumberFormat="1" applyFont="1" applyBorder="1" applyAlignment="1">
      <alignment horizontal="center"/>
    </xf>
    <xf numFmtId="164" fontId="45" fillId="0" borderId="17" xfId="0" applyNumberFormat="1" applyFont="1" applyBorder="1" applyAlignment="1">
      <alignment horizontal="center"/>
    </xf>
    <xf numFmtId="164" fontId="45" fillId="0" borderId="18" xfId="0" applyNumberFormat="1" applyFont="1" applyBorder="1" applyAlignment="1">
      <alignment horizontal="center"/>
    </xf>
    <xf numFmtId="0" fontId="47" fillId="0" borderId="11" xfId="5" applyFont="1" applyBorder="1"/>
    <xf numFmtId="164" fontId="47" fillId="0" borderId="0" xfId="0" applyNumberFormat="1" applyFont="1"/>
    <xf numFmtId="0" fontId="44" fillId="0" borderId="0" xfId="0" applyFont="1" applyAlignment="1">
      <alignment horizontal="center" wrapText="1"/>
    </xf>
    <xf numFmtId="38" fontId="43" fillId="0" borderId="0" xfId="0" applyNumberFormat="1" applyFont="1" applyAlignment="1">
      <alignment horizontal="center"/>
    </xf>
    <xf numFmtId="172" fontId="44" fillId="0" borderId="0" xfId="18" applyNumberFormat="1" applyFont="1" applyFill="1" applyBorder="1" applyAlignment="1">
      <alignment horizontal="right"/>
    </xf>
    <xf numFmtId="172" fontId="43" fillId="0" borderId="0" xfId="18" applyNumberFormat="1" applyFont="1" applyFill="1" applyBorder="1"/>
    <xf numFmtId="172" fontId="44" fillId="0" borderId="0" xfId="18" applyNumberFormat="1" applyFont="1" applyFill="1" applyBorder="1"/>
    <xf numFmtId="164" fontId="61" fillId="0" borderId="0" xfId="0" applyNumberFormat="1" applyFont="1" applyAlignment="1">
      <alignment horizontal="center"/>
    </xf>
    <xf numFmtId="172" fontId="44" fillId="0" borderId="0" xfId="0" applyNumberFormat="1" applyFont="1"/>
    <xf numFmtId="9" fontId="44" fillId="0" borderId="0" xfId="2" applyFont="1" applyFill="1" applyBorder="1"/>
    <xf numFmtId="44" fontId="44" fillId="0" borderId="21" xfId="18" applyFont="1" applyFill="1" applyBorder="1"/>
    <xf numFmtId="0" fontId="43" fillId="0" borderId="62" xfId="0" applyFont="1" applyBorder="1"/>
    <xf numFmtId="172" fontId="43" fillId="0" borderId="63" xfId="18" applyNumberFormat="1" applyFont="1" applyBorder="1"/>
    <xf numFmtId="10" fontId="43" fillId="0" borderId="0" xfId="24" applyNumberFormat="1" applyFont="1" applyBorder="1"/>
    <xf numFmtId="10" fontId="46" fillId="0" borderId="0" xfId="24" applyNumberFormat="1" applyFont="1" applyFill="1" applyBorder="1"/>
    <xf numFmtId="0" fontId="6" fillId="0" borderId="24" xfId="16" applyFont="1" applyBorder="1"/>
    <xf numFmtId="1" fontId="61" fillId="0" borderId="0" xfId="0" applyNumberFormat="1" applyFont="1" applyAlignment="1">
      <alignment horizontal="center"/>
    </xf>
    <xf numFmtId="0" fontId="47" fillId="0" borderId="21" xfId="0" applyFont="1" applyBorder="1"/>
    <xf numFmtId="4" fontId="45" fillId="0" borderId="0" xfId="0" quotePrefix="1" applyNumberFormat="1" applyFont="1" applyAlignment="1">
      <alignment horizontal="center"/>
    </xf>
    <xf numFmtId="170" fontId="62" fillId="0" borderId="0" xfId="0" applyNumberFormat="1" applyFont="1" applyAlignment="1">
      <alignment horizontal="center"/>
    </xf>
    <xf numFmtId="10" fontId="57" fillId="0" borderId="0" xfId="24" applyNumberFormat="1" applyFont="1" applyBorder="1" applyAlignment="1">
      <alignment wrapText="1"/>
    </xf>
    <xf numFmtId="44" fontId="47" fillId="0" borderId="25" xfId="0" applyNumberFormat="1" applyFont="1" applyBorder="1" applyAlignment="1">
      <alignment wrapText="1"/>
    </xf>
    <xf numFmtId="44" fontId="45" fillId="6" borderId="25" xfId="0" applyNumberFormat="1" applyFont="1" applyFill="1" applyBorder="1"/>
    <xf numFmtId="10" fontId="47" fillId="0" borderId="26" xfId="2" applyNumberFormat="1" applyFont="1" applyFill="1" applyBorder="1"/>
    <xf numFmtId="0" fontId="44" fillId="0" borderId="0" xfId="3" applyFont="1" applyAlignment="1">
      <alignment wrapText="1"/>
    </xf>
    <xf numFmtId="2" fontId="45" fillId="0" borderId="0" xfId="0" applyNumberFormat="1" applyFont="1" applyAlignment="1">
      <alignment horizontal="center"/>
    </xf>
    <xf numFmtId="9" fontId="47" fillId="0" borderId="0" xfId="13" applyFont="1" applyFill="1" applyBorder="1"/>
    <xf numFmtId="44" fontId="46" fillId="0" borderId="0" xfId="17" applyFont="1" applyFill="1" applyBorder="1"/>
    <xf numFmtId="164" fontId="63" fillId="0" borderId="0" xfId="0" applyNumberFormat="1" applyFont="1" applyAlignment="1">
      <alignment horizontal="center" wrapText="1"/>
    </xf>
    <xf numFmtId="44" fontId="45" fillId="0" borderId="0" xfId="17" applyFont="1" applyFill="1" applyBorder="1"/>
    <xf numFmtId="44" fontId="47" fillId="0" borderId="0" xfId="17" applyFont="1" applyFill="1" applyBorder="1"/>
    <xf numFmtId="0" fontId="0" fillId="0" borderId="37" xfId="0" applyBorder="1"/>
    <xf numFmtId="172" fontId="6" fillId="0" borderId="1" xfId="17" applyNumberFormat="1" applyFont="1" applyFill="1" applyBorder="1"/>
    <xf numFmtId="172" fontId="50" fillId="0" borderId="1" xfId="17" applyNumberFormat="1" applyFont="1" applyFill="1" applyBorder="1"/>
    <xf numFmtId="0" fontId="0" fillId="0" borderId="38" xfId="0" applyBorder="1" applyAlignment="1">
      <alignment horizontal="left" wrapText="1"/>
    </xf>
    <xf numFmtId="0" fontId="6" fillId="0" borderId="37" xfId="16" applyFont="1" applyBorder="1"/>
    <xf numFmtId="172" fontId="0" fillId="0" borderId="1" xfId="18" applyNumberFormat="1" applyFont="1" applyBorder="1" applyAlignment="1">
      <alignment horizontal="center"/>
    </xf>
    <xf numFmtId="0" fontId="6" fillId="0" borderId="1" xfId="5" applyFont="1" applyBorder="1"/>
    <xf numFmtId="0" fontId="6" fillId="0" borderId="38" xfId="5" applyFont="1" applyBorder="1" applyAlignment="1">
      <alignment horizontal="left" wrapText="1"/>
    </xf>
    <xf numFmtId="172" fontId="0" fillId="0" borderId="38" xfId="18" applyNumberFormat="1" applyFont="1" applyFill="1" applyBorder="1" applyAlignment="1">
      <alignment horizontal="center"/>
    </xf>
    <xf numFmtId="10" fontId="0" fillId="0" borderId="1" xfId="19" applyNumberFormat="1" applyFont="1" applyFill="1" applyBorder="1" applyAlignment="1">
      <alignment horizontal="center"/>
    </xf>
    <xf numFmtId="172" fontId="0" fillId="0" borderId="38" xfId="18" applyNumberFormat="1" applyFont="1" applyFill="1" applyBorder="1" applyAlignment="1">
      <alignment horizontal="left" vertical="top" wrapText="1"/>
    </xf>
    <xf numFmtId="7" fontId="0" fillId="0" borderId="1" xfId="18" applyNumberFormat="1" applyFont="1" applyBorder="1" applyAlignment="1">
      <alignment horizontal="center"/>
    </xf>
    <xf numFmtId="5" fontId="0" fillId="0" borderId="1" xfId="18" applyNumberFormat="1" applyFont="1" applyBorder="1" applyAlignment="1">
      <alignment horizontal="center"/>
    </xf>
    <xf numFmtId="0" fontId="50" fillId="0" borderId="37" xfId="0" applyFont="1" applyBorder="1"/>
    <xf numFmtId="0" fontId="50" fillId="0" borderId="1" xfId="0" applyFont="1" applyBorder="1"/>
    <xf numFmtId="10" fontId="50" fillId="0" borderId="1" xfId="2" applyNumberFormat="1" applyFont="1" applyFill="1" applyBorder="1" applyAlignment="1">
      <alignment horizontal="center"/>
    </xf>
    <xf numFmtId="0" fontId="7" fillId="0" borderId="37" xfId="16" applyFont="1" applyBorder="1"/>
    <xf numFmtId="0" fontId="7" fillId="0" borderId="1" xfId="16" applyFont="1" applyBorder="1"/>
    <xf numFmtId="10" fontId="6" fillId="0" borderId="1" xfId="19" applyNumberFormat="1" applyFont="1" applyFill="1" applyBorder="1" applyAlignment="1">
      <alignment horizontal="center"/>
    </xf>
    <xf numFmtId="0" fontId="0" fillId="0" borderId="38" xfId="0" applyBorder="1" applyAlignment="1">
      <alignment horizontal="left"/>
    </xf>
    <xf numFmtId="0" fontId="0" fillId="0" borderId="20" xfId="0" applyBorder="1"/>
    <xf numFmtId="0" fontId="10" fillId="0" borderId="0" xfId="0" applyFont="1" applyAlignment="1">
      <alignment horizontal="center"/>
    </xf>
    <xf numFmtId="0" fontId="0" fillId="0" borderId="21" xfId="0" applyBorder="1"/>
    <xf numFmtId="44" fontId="6" fillId="0" borderId="25" xfId="1" applyFont="1" applyBorder="1"/>
    <xf numFmtId="167" fontId="6" fillId="0" borderId="25" xfId="19" applyNumberFormat="1" applyFont="1" applyFill="1" applyBorder="1" applyAlignment="1">
      <alignment horizontal="center"/>
    </xf>
    <xf numFmtId="172" fontId="0" fillId="0" borderId="21" xfId="18" applyNumberFormat="1" applyFont="1" applyFill="1" applyBorder="1" applyAlignment="1">
      <alignment horizontal="left" wrapText="1"/>
    </xf>
    <xf numFmtId="172" fontId="50" fillId="0" borderId="21" xfId="18" applyNumberFormat="1" applyFont="1" applyFill="1" applyBorder="1" applyAlignment="1">
      <alignment horizontal="left" wrapText="1"/>
    </xf>
    <xf numFmtId="172" fontId="0" fillId="0" borderId="26" xfId="18" applyNumberFormat="1" applyFont="1" applyFill="1" applyBorder="1" applyAlignment="1">
      <alignment horizontal="left" wrapText="1"/>
    </xf>
    <xf numFmtId="164" fontId="0" fillId="0" borderId="20" xfId="0" applyNumberFormat="1" applyBorder="1"/>
    <xf numFmtId="172" fontId="0" fillId="0" borderId="0" xfId="17" applyNumberFormat="1" applyFont="1" applyFill="1" applyBorder="1" applyAlignment="1">
      <alignment horizontal="center"/>
    </xf>
    <xf numFmtId="39" fontId="0" fillId="0" borderId="0" xfId="18" applyNumberFormat="1" applyFont="1" applyFill="1" applyBorder="1" applyAlignment="1">
      <alignment horizontal="center"/>
    </xf>
    <xf numFmtId="172" fontId="0" fillId="0" borderId="21" xfId="18" applyNumberFormat="1" applyFont="1" applyFill="1" applyBorder="1" applyAlignment="1">
      <alignment horizontal="right"/>
    </xf>
    <xf numFmtId="2" fontId="0" fillId="0" borderId="0" xfId="18" applyNumberFormat="1" applyFont="1" applyFill="1" applyBorder="1" applyAlignment="1">
      <alignment horizontal="center"/>
    </xf>
    <xf numFmtId="169" fontId="0" fillId="0" borderId="20" xfId="0" applyNumberFormat="1" applyBorder="1"/>
    <xf numFmtId="5" fontId="0" fillId="0" borderId="14" xfId="17" applyNumberFormat="1" applyFont="1" applyFill="1" applyBorder="1" applyAlignment="1">
      <alignment horizontal="center"/>
    </xf>
    <xf numFmtId="172" fontId="2" fillId="0" borderId="15" xfId="18" applyNumberFormat="1" applyFont="1" applyFill="1" applyBorder="1"/>
    <xf numFmtId="172" fontId="2" fillId="0" borderId="0" xfId="18" applyNumberFormat="1" applyFont="1" applyFill="1" applyBorder="1" applyAlignment="1">
      <alignment horizontal="center"/>
    </xf>
    <xf numFmtId="2" fontId="2" fillId="0" borderId="0" xfId="0" applyNumberFormat="1" applyFont="1" applyAlignment="1">
      <alignment horizontal="center"/>
    </xf>
    <xf numFmtId="172" fontId="2" fillId="0" borderId="21" xfId="18" applyNumberFormat="1" applyFont="1" applyFill="1" applyBorder="1"/>
    <xf numFmtId="0" fontId="0" fillId="0" borderId="22" xfId="0" applyBorder="1"/>
    <xf numFmtId="0" fontId="0" fillId="0" borderId="11" xfId="0" applyBorder="1" applyAlignment="1">
      <alignment horizontal="center"/>
    </xf>
    <xf numFmtId="10" fontId="0" fillId="0" borderId="11" xfId="19" applyNumberFormat="1" applyFont="1" applyFill="1" applyBorder="1" applyAlignment="1">
      <alignment horizontal="center"/>
    </xf>
    <xf numFmtId="172" fontId="0" fillId="0" borderId="23" xfId="18" applyNumberFormat="1" applyFont="1" applyFill="1" applyBorder="1"/>
    <xf numFmtId="0" fontId="0" fillId="0" borderId="39" xfId="0" applyBorder="1"/>
    <xf numFmtId="0" fontId="0" fillId="0" borderId="40" xfId="0" applyBorder="1" applyAlignment="1">
      <alignment horizontal="center"/>
    </xf>
    <xf numFmtId="10" fontId="0" fillId="0" borderId="0" xfId="0" applyNumberFormat="1" applyAlignment="1">
      <alignment horizontal="center"/>
    </xf>
    <xf numFmtId="172" fontId="0" fillId="0" borderId="21" xfId="0" applyNumberFormat="1" applyBorder="1"/>
    <xf numFmtId="172" fontId="0" fillId="0" borderId="21" xfId="18" applyNumberFormat="1" applyFont="1" applyFill="1" applyBorder="1"/>
    <xf numFmtId="7" fontId="0" fillId="0" borderId="0" xfId="2" applyNumberFormat="1" applyFont="1" applyFill="1" applyBorder="1" applyAlignment="1">
      <alignment horizontal="center"/>
    </xf>
    <xf numFmtId="0" fontId="2" fillId="0" borderId="42" xfId="0" applyFont="1" applyBorder="1"/>
    <xf numFmtId="0" fontId="0" fillId="0" borderId="43" xfId="0" applyBorder="1" applyAlignment="1">
      <alignment horizontal="center"/>
    </xf>
    <xf numFmtId="172" fontId="2" fillId="0" borderId="44" xfId="18" applyNumberFormat="1" applyFont="1" applyFill="1" applyBorder="1"/>
    <xf numFmtId="10" fontId="0" fillId="0" borderId="0" xfId="19" applyNumberFormat="1" applyFont="1" applyFill="1" applyBorder="1" applyAlignment="1">
      <alignment horizontal="center"/>
    </xf>
    <xf numFmtId="0" fontId="2" fillId="0" borderId="20" xfId="0" applyFont="1" applyBorder="1"/>
    <xf numFmtId="0" fontId="0" fillId="0" borderId="24" xfId="0" applyBorder="1"/>
    <xf numFmtId="10" fontId="0" fillId="0" borderId="25" xfId="0" applyNumberFormat="1" applyBorder="1" applyAlignment="1">
      <alignment horizontal="center"/>
    </xf>
    <xf numFmtId="0" fontId="2" fillId="0" borderId="24" xfId="0" applyFont="1" applyBorder="1"/>
    <xf numFmtId="10" fontId="2" fillId="0" borderId="25" xfId="19" applyNumberFormat="1" applyFont="1" applyFill="1" applyBorder="1" applyAlignment="1">
      <alignment horizontal="center"/>
    </xf>
    <xf numFmtId="0" fontId="2" fillId="0" borderId="25" xfId="0" applyFont="1" applyBorder="1" applyAlignment="1">
      <alignment horizontal="center"/>
    </xf>
    <xf numFmtId="44" fontId="2" fillId="0" borderId="0" xfId="18" applyFont="1" applyFill="1" applyBorder="1"/>
    <xf numFmtId="10" fontId="2" fillId="0" borderId="0" xfId="19" applyNumberFormat="1" applyFont="1" applyFill="1" applyBorder="1" applyAlignment="1">
      <alignment horizontal="center"/>
    </xf>
    <xf numFmtId="10" fontId="6" fillId="0" borderId="0" xfId="2" applyNumberFormat="1" applyFont="1" applyFill="1" applyBorder="1"/>
    <xf numFmtId="0" fontId="6" fillId="0" borderId="19" xfId="0" applyFont="1" applyBorder="1" applyAlignment="1">
      <alignment wrapText="1"/>
    </xf>
    <xf numFmtId="0" fontId="6" fillId="0" borderId="47" xfId="0" applyFont="1" applyBorder="1" applyAlignment="1">
      <alignment wrapText="1"/>
    </xf>
    <xf numFmtId="0" fontId="0" fillId="0" borderId="48" xfId="0" applyBorder="1"/>
    <xf numFmtId="0" fontId="0" fillId="0" borderId="49" xfId="0" applyBorder="1"/>
    <xf numFmtId="167" fontId="0" fillId="11" borderId="38" xfId="0" applyNumberFormat="1" applyFill="1" applyBorder="1"/>
    <xf numFmtId="0" fontId="0" fillId="0" borderId="37" xfId="0" applyBorder="1" applyAlignment="1">
      <alignment wrapText="1"/>
    </xf>
    <xf numFmtId="8" fontId="0" fillId="11" borderId="38" xfId="0" applyNumberFormat="1" applyFill="1" applyBorder="1"/>
    <xf numFmtId="0" fontId="0" fillId="0" borderId="50" xfId="0" applyBorder="1"/>
    <xf numFmtId="167" fontId="4" fillId="0" borderId="53" xfId="17" applyNumberFormat="1" applyFont="1" applyFill="1" applyBorder="1"/>
    <xf numFmtId="167" fontId="4" fillId="6" borderId="53" xfId="17" applyNumberFormat="1" applyFont="1" applyFill="1" applyBorder="1"/>
    <xf numFmtId="167" fontId="6" fillId="0" borderId="54" xfId="5" applyNumberFormat="1" applyFont="1" applyBorder="1" applyAlignment="1">
      <alignment vertical="center"/>
    </xf>
    <xf numFmtId="167" fontId="4" fillId="6" borderId="53" xfId="20" applyNumberFormat="1" applyFont="1" applyFill="1" applyBorder="1"/>
    <xf numFmtId="0" fontId="65" fillId="0" borderId="34" xfId="0" applyFont="1" applyBorder="1"/>
    <xf numFmtId="0" fontId="6" fillId="0" borderId="35" xfId="0" applyFont="1" applyBorder="1" applyAlignment="1">
      <alignment wrapText="1"/>
    </xf>
    <xf numFmtId="0" fontId="6" fillId="0" borderId="36" xfId="0" applyFont="1" applyBorder="1" applyAlignment="1">
      <alignment wrapText="1"/>
    </xf>
    <xf numFmtId="0" fontId="0" fillId="0" borderId="49" xfId="0" applyBorder="1" applyAlignment="1">
      <alignment wrapText="1"/>
    </xf>
    <xf numFmtId="0" fontId="6" fillId="0" borderId="37" xfId="5" applyFont="1" applyBorder="1"/>
    <xf numFmtId="167" fontId="6" fillId="0" borderId="1" xfId="5" applyNumberFormat="1" applyFont="1" applyBorder="1"/>
    <xf numFmtId="167" fontId="2" fillId="24" borderId="53" xfId="0" applyNumberFormat="1" applyFont="1" applyFill="1" applyBorder="1"/>
    <xf numFmtId="167" fontId="6" fillId="11" borderId="38" xfId="0" applyNumberFormat="1" applyFont="1" applyFill="1" applyBorder="1" applyAlignment="1">
      <alignment wrapText="1"/>
    </xf>
    <xf numFmtId="167" fontId="6" fillId="0" borderId="55" xfId="5" applyNumberFormat="1" applyFont="1" applyBorder="1" applyAlignment="1">
      <alignment vertical="center"/>
    </xf>
    <xf numFmtId="0" fontId="0" fillId="0" borderId="16" xfId="0" applyBorder="1"/>
    <xf numFmtId="0" fontId="0" fillId="0" borderId="56" xfId="0" applyBorder="1"/>
    <xf numFmtId="8" fontId="0" fillId="0" borderId="1" xfId="0" applyNumberFormat="1" applyBorder="1" applyAlignment="1">
      <alignment wrapText="1"/>
    </xf>
    <xf numFmtId="167" fontId="2" fillId="11" borderId="38" xfId="0" applyNumberFormat="1" applyFont="1" applyFill="1" applyBorder="1"/>
    <xf numFmtId="8" fontId="2" fillId="24" borderId="38" xfId="0" applyNumberFormat="1" applyFont="1" applyFill="1" applyBorder="1"/>
    <xf numFmtId="8" fontId="0" fillId="0" borderId="54" xfId="0" applyNumberFormat="1" applyBorder="1" applyAlignment="1">
      <alignment wrapText="1"/>
    </xf>
    <xf numFmtId="167" fontId="0" fillId="6" borderId="53" xfId="0" applyNumberFormat="1" applyFill="1" applyBorder="1"/>
    <xf numFmtId="0" fontId="6" fillId="0" borderId="48" xfId="0" applyFont="1" applyBorder="1"/>
    <xf numFmtId="0" fontId="0" fillId="0" borderId="51" xfId="0" applyBorder="1"/>
    <xf numFmtId="167" fontId="2" fillId="6" borderId="53" xfId="0" applyNumberFormat="1" applyFont="1" applyFill="1" applyBorder="1"/>
    <xf numFmtId="0" fontId="42" fillId="0" borderId="37" xfId="0" applyFont="1" applyBorder="1"/>
    <xf numFmtId="8" fontId="6" fillId="0" borderId="1" xfId="0" applyNumberFormat="1" applyFont="1" applyBorder="1" applyAlignment="1">
      <alignment wrapText="1"/>
    </xf>
    <xf numFmtId="167" fontId="7" fillId="6" borderId="53" xfId="17" applyNumberFormat="1" applyFont="1" applyFill="1" applyBorder="1"/>
    <xf numFmtId="0" fontId="0" fillId="0" borderId="13" xfId="0" applyBorder="1"/>
    <xf numFmtId="167" fontId="0" fillId="0" borderId="38" xfId="0" applyNumberFormat="1" applyBorder="1"/>
    <xf numFmtId="167" fontId="0" fillId="0" borderId="54" xfId="0" applyNumberFormat="1" applyBorder="1" applyAlignment="1">
      <alignment wrapText="1"/>
    </xf>
    <xf numFmtId="0" fontId="6" fillId="0" borderId="37" xfId="0" applyFont="1" applyBorder="1" applyAlignment="1">
      <alignment wrapText="1"/>
    </xf>
    <xf numFmtId="0" fontId="45" fillId="0" borderId="36" xfId="16" applyFont="1" applyBorder="1" applyAlignment="1">
      <alignment horizontal="center" vertical="center"/>
    </xf>
    <xf numFmtId="172" fontId="47" fillId="0" borderId="0" xfId="17" applyNumberFormat="1" applyFont="1" applyBorder="1"/>
    <xf numFmtId="0" fontId="44" fillId="0" borderId="61" xfId="0" applyFont="1" applyBorder="1" applyAlignment="1">
      <alignment horizontal="left" wrapText="1"/>
    </xf>
    <xf numFmtId="172" fontId="47" fillId="0" borderId="9" xfId="17" applyNumberFormat="1" applyFont="1" applyBorder="1"/>
    <xf numFmtId="39" fontId="44" fillId="0" borderId="0" xfId="18" applyNumberFormat="1" applyFont="1" applyBorder="1" applyAlignment="1">
      <alignment horizontal="center"/>
    </xf>
    <xf numFmtId="172" fontId="44" fillId="0" borderId="63" xfId="18" applyNumberFormat="1" applyFont="1" applyFill="1" applyBorder="1" applyAlignment="1">
      <alignment horizontal="center"/>
    </xf>
    <xf numFmtId="0" fontId="43" fillId="0" borderId="20" xfId="0" applyFont="1" applyBorder="1" applyAlignment="1">
      <alignment horizontal="right"/>
    </xf>
    <xf numFmtId="172" fontId="44" fillId="0" borderId="21" xfId="18" applyNumberFormat="1" applyFont="1" applyFill="1" applyBorder="1" applyAlignment="1">
      <alignment horizontal="center"/>
    </xf>
    <xf numFmtId="172" fontId="44" fillId="0" borderId="21" xfId="18" applyNumberFormat="1" applyFont="1" applyFill="1" applyBorder="1" applyAlignment="1">
      <alignment horizontal="left" wrapText="1"/>
    </xf>
    <xf numFmtId="0" fontId="47" fillId="0" borderId="9" xfId="5" applyFont="1" applyBorder="1" applyAlignment="1">
      <alignment horizontal="center"/>
    </xf>
    <xf numFmtId="0" fontId="43" fillId="0" borderId="51" xfId="0" applyFont="1" applyBorder="1"/>
    <xf numFmtId="0" fontId="44" fillId="0" borderId="64" xfId="0" applyFont="1" applyBorder="1" applyAlignment="1">
      <alignment horizontal="center"/>
    </xf>
    <xf numFmtId="44" fontId="47" fillId="0" borderId="0" xfId="17" applyFont="1" applyBorder="1"/>
    <xf numFmtId="7" fontId="47" fillId="0" borderId="9" xfId="17" applyNumberFormat="1" applyFont="1" applyFill="1" applyBorder="1" applyAlignment="1">
      <alignment horizontal="center"/>
    </xf>
    <xf numFmtId="10" fontId="47" fillId="0" borderId="0" xfId="2" applyNumberFormat="1" applyFont="1" applyFill="1" applyBorder="1" applyAlignment="1"/>
    <xf numFmtId="0" fontId="44" fillId="0" borderId="20" xfId="0" applyFont="1" applyBorder="1" applyAlignment="1">
      <alignment wrapText="1"/>
    </xf>
    <xf numFmtId="172" fontId="67" fillId="0" borderId="21" xfId="18" applyNumberFormat="1" applyFont="1" applyFill="1" applyBorder="1" applyAlignment="1">
      <alignment horizontal="left" wrapText="1"/>
    </xf>
    <xf numFmtId="0" fontId="45" fillId="0" borderId="49" xfId="16" applyFont="1" applyBorder="1"/>
    <xf numFmtId="0" fontId="45" fillId="0" borderId="4" xfId="16" applyFont="1" applyBorder="1"/>
    <xf numFmtId="10" fontId="45" fillId="0" borderId="5" xfId="19" applyNumberFormat="1" applyFont="1" applyFill="1" applyBorder="1" applyAlignment="1">
      <alignment horizontal="center"/>
    </xf>
    <xf numFmtId="0" fontId="45" fillId="0" borderId="51" xfId="16" applyFont="1" applyBorder="1"/>
    <xf numFmtId="0" fontId="45" fillId="0" borderId="64" xfId="16" applyFont="1" applyBorder="1"/>
    <xf numFmtId="10" fontId="45" fillId="0" borderId="52" xfId="19" applyNumberFormat="1" applyFont="1" applyFill="1" applyBorder="1" applyAlignment="1">
      <alignment horizontal="center"/>
    </xf>
    <xf numFmtId="0" fontId="45" fillId="0" borderId="20" xfId="0" applyFont="1" applyBorder="1" applyAlignment="1">
      <alignment horizontal="center"/>
    </xf>
    <xf numFmtId="0" fontId="45" fillId="0" borderId="0" xfId="5" applyFont="1" applyAlignment="1">
      <alignment horizontal="center" wrapText="1"/>
    </xf>
    <xf numFmtId="38" fontId="45" fillId="0" borderId="21" xfId="0" applyNumberFormat="1" applyFont="1" applyBorder="1" applyAlignment="1">
      <alignment horizontal="center"/>
    </xf>
    <xf numFmtId="172" fontId="47" fillId="0" borderId="0" xfId="18" applyNumberFormat="1" applyFont="1" applyFill="1" applyBorder="1" applyAlignment="1">
      <alignment horizontal="center"/>
    </xf>
    <xf numFmtId="0" fontId="47" fillId="0" borderId="61" xfId="0" applyFont="1" applyBorder="1" applyAlignment="1">
      <alignment horizontal="left" wrapText="1"/>
    </xf>
    <xf numFmtId="164" fontId="47" fillId="0" borderId="20" xfId="0" applyNumberFormat="1" applyFont="1" applyBorder="1"/>
    <xf numFmtId="172" fontId="47" fillId="0" borderId="0" xfId="17" applyNumberFormat="1" applyFont="1" applyFill="1" applyBorder="1" applyAlignment="1">
      <alignment horizontal="center"/>
    </xf>
    <xf numFmtId="39" fontId="47" fillId="0" borderId="0" xfId="18" applyNumberFormat="1" applyFont="1" applyFill="1" applyBorder="1" applyAlignment="1">
      <alignment horizontal="center"/>
    </xf>
    <xf numFmtId="172" fontId="47" fillId="0" borderId="21" xfId="18" applyNumberFormat="1" applyFont="1" applyBorder="1" applyAlignment="1">
      <alignment horizontal="right"/>
    </xf>
    <xf numFmtId="169" fontId="47" fillId="0" borderId="20" xfId="0" applyNumberFormat="1" applyFont="1" applyBorder="1"/>
    <xf numFmtId="39" fontId="47" fillId="0" borderId="0" xfId="18" applyNumberFormat="1" applyFont="1" applyBorder="1" applyAlignment="1">
      <alignment horizontal="center"/>
    </xf>
    <xf numFmtId="172" fontId="47" fillId="0" borderId="63" xfId="18" applyNumberFormat="1" applyFont="1" applyFill="1" applyBorder="1" applyAlignment="1">
      <alignment horizontal="center"/>
    </xf>
    <xf numFmtId="0" fontId="45" fillId="0" borderId="20" xfId="0" applyFont="1" applyBorder="1" applyAlignment="1">
      <alignment horizontal="right"/>
    </xf>
    <xf numFmtId="0" fontId="45" fillId="0" borderId="9" xfId="0" applyFont="1" applyBorder="1" applyAlignment="1">
      <alignment horizontal="center"/>
    </xf>
    <xf numFmtId="172" fontId="47" fillId="0" borderId="21" xfId="18" applyNumberFormat="1" applyFont="1" applyFill="1" applyBorder="1" applyAlignment="1">
      <alignment horizontal="center"/>
    </xf>
    <xf numFmtId="0" fontId="45" fillId="0" borderId="13" xfId="0" applyFont="1" applyBorder="1"/>
    <xf numFmtId="5" fontId="47" fillId="0" borderId="14" xfId="17" applyNumberFormat="1" applyFont="1" applyBorder="1" applyAlignment="1">
      <alignment horizontal="center"/>
    </xf>
    <xf numFmtId="2" fontId="45" fillId="0" borderId="14" xfId="0" applyNumberFormat="1" applyFont="1" applyBorder="1" applyAlignment="1">
      <alignment horizontal="center"/>
    </xf>
    <xf numFmtId="172" fontId="45" fillId="0" borderId="15" xfId="18" applyNumberFormat="1" applyFont="1" applyBorder="1"/>
    <xf numFmtId="2" fontId="47" fillId="0" borderId="0" xfId="0" applyNumberFormat="1" applyFont="1" applyAlignment="1">
      <alignment horizontal="center"/>
    </xf>
    <xf numFmtId="172" fontId="47" fillId="0" borderId="21" xfId="18" applyNumberFormat="1" applyFont="1" applyFill="1" applyBorder="1" applyAlignment="1">
      <alignment horizontal="left" wrapText="1"/>
    </xf>
    <xf numFmtId="0" fontId="47" fillId="0" borderId="22" xfId="0" applyFont="1" applyBorder="1"/>
    <xf numFmtId="0" fontId="47" fillId="0" borderId="11" xfId="0" applyFont="1" applyBorder="1" applyAlignment="1">
      <alignment horizontal="center"/>
    </xf>
    <xf numFmtId="10" fontId="47" fillId="0" borderId="11" xfId="19" applyNumberFormat="1" applyFont="1" applyFill="1" applyBorder="1" applyAlignment="1">
      <alignment horizontal="center"/>
    </xf>
    <xf numFmtId="172" fontId="47" fillId="0" borderId="23" xfId="18" applyNumberFormat="1" applyFont="1" applyFill="1" applyBorder="1"/>
    <xf numFmtId="0" fontId="47" fillId="0" borderId="39" xfId="0" applyFont="1" applyBorder="1"/>
    <xf numFmtId="0" fontId="47" fillId="0" borderId="40" xfId="0" applyFont="1" applyBorder="1" applyAlignment="1">
      <alignment horizontal="center"/>
    </xf>
    <xf numFmtId="172" fontId="45" fillId="0" borderId="41" xfId="18" applyNumberFormat="1" applyFont="1" applyFill="1" applyBorder="1"/>
    <xf numFmtId="164" fontId="63" fillId="0" borderId="0" xfId="0" applyNumberFormat="1" applyFont="1" applyAlignment="1">
      <alignment horizontal="center"/>
    </xf>
    <xf numFmtId="10" fontId="47" fillId="0" borderId="0" xfId="0" applyNumberFormat="1" applyFont="1" applyAlignment="1">
      <alignment horizontal="center"/>
    </xf>
    <xf numFmtId="172" fontId="47" fillId="0" borderId="21" xfId="0" applyNumberFormat="1" applyFont="1" applyBorder="1"/>
    <xf numFmtId="7" fontId="47" fillId="0" borderId="0" xfId="0" applyNumberFormat="1" applyFont="1" applyAlignment="1">
      <alignment horizontal="center"/>
    </xf>
    <xf numFmtId="0" fontId="45" fillId="0" borderId="51" xfId="0" applyFont="1" applyBorder="1"/>
    <xf numFmtId="0" fontId="47" fillId="0" borderId="64" xfId="0" applyFont="1" applyBorder="1" applyAlignment="1">
      <alignment horizontal="center"/>
    </xf>
    <xf numFmtId="172" fontId="45" fillId="0" borderId="65" xfId="18" applyNumberFormat="1" applyFont="1" applyFill="1" applyBorder="1"/>
    <xf numFmtId="10" fontId="47" fillId="0" borderId="0" xfId="19" applyNumberFormat="1" applyFont="1" applyFill="1" applyBorder="1" applyAlignment="1">
      <alignment horizontal="center"/>
    </xf>
    <xf numFmtId="10" fontId="47" fillId="0" borderId="9" xfId="19" applyNumberFormat="1" applyFont="1" applyFill="1" applyBorder="1" applyAlignment="1">
      <alignment horizontal="center"/>
    </xf>
    <xf numFmtId="172" fontId="47" fillId="0" borderId="38" xfId="18" applyNumberFormat="1" applyFont="1" applyFill="1" applyBorder="1" applyAlignment="1">
      <alignment horizontal="left" vertical="top" wrapText="1"/>
    </xf>
    <xf numFmtId="10" fontId="47" fillId="0" borderId="0" xfId="19" applyNumberFormat="1" applyFont="1" applyBorder="1" applyAlignment="1">
      <alignment horizontal="center"/>
    </xf>
    <xf numFmtId="172" fontId="47" fillId="0" borderId="21" xfId="18" applyNumberFormat="1" applyFont="1" applyFill="1" applyBorder="1"/>
    <xf numFmtId="9" fontId="47" fillId="0" borderId="0" xfId="2" applyFont="1" applyFill="1" applyBorder="1" applyAlignment="1">
      <alignment horizontal="center"/>
    </xf>
    <xf numFmtId="10" fontId="47" fillId="0" borderId="25" xfId="0" applyNumberFormat="1" applyFont="1" applyBorder="1" applyAlignment="1">
      <alignment horizontal="center"/>
    </xf>
    <xf numFmtId="44" fontId="45" fillId="6" borderId="26" xfId="18" applyFont="1" applyFill="1" applyBorder="1"/>
    <xf numFmtId="7" fontId="47" fillId="0" borderId="0" xfId="18" applyNumberFormat="1" applyFont="1" applyFill="1" applyBorder="1" applyAlignment="1">
      <alignment horizontal="center"/>
    </xf>
    <xf numFmtId="0" fontId="47" fillId="0" borderId="21" xfId="0" applyFont="1" applyBorder="1" applyAlignment="1">
      <alignment horizontal="left" wrapText="1"/>
    </xf>
    <xf numFmtId="0" fontId="47" fillId="0" borderId="21" xfId="3" applyFont="1" applyBorder="1" applyAlignment="1">
      <alignment horizontal="left" wrapText="1"/>
    </xf>
    <xf numFmtId="1" fontId="63" fillId="0" borderId="0" xfId="0" applyNumberFormat="1" applyFont="1" applyAlignment="1">
      <alignment horizontal="center"/>
    </xf>
    <xf numFmtId="0" fontId="45" fillId="0" borderId="1" xfId="0" applyFont="1" applyBorder="1"/>
    <xf numFmtId="10" fontId="45" fillId="0" borderId="9" xfId="17" applyNumberFormat="1" applyFont="1" applyFill="1" applyBorder="1" applyAlignment="1">
      <alignment horizontal="center"/>
    </xf>
    <xf numFmtId="0" fontId="45" fillId="0" borderId="21" xfId="3" applyFont="1" applyBorder="1" applyAlignment="1">
      <alignment horizontal="left" wrapText="1"/>
    </xf>
    <xf numFmtId="172" fontId="47" fillId="0" borderId="21" xfId="3" applyNumberFormat="1" applyFont="1" applyBorder="1" applyAlignment="1">
      <alignment horizontal="left" wrapText="1"/>
    </xf>
    <xf numFmtId="170" fontId="47" fillId="0" borderId="0" xfId="0" applyNumberFormat="1" applyFont="1" applyAlignment="1">
      <alignment horizontal="center"/>
    </xf>
    <xf numFmtId="0" fontId="47" fillId="0" borderId="20" xfId="0" applyFont="1" applyBorder="1" applyAlignment="1">
      <alignment wrapText="1"/>
    </xf>
    <xf numFmtId="7" fontId="47" fillId="0" borderId="9" xfId="2" applyNumberFormat="1" applyFont="1" applyFill="1" applyBorder="1" applyAlignment="1">
      <alignment horizontal="center"/>
    </xf>
    <xf numFmtId="172" fontId="68" fillId="0" borderId="21" xfId="18" applyNumberFormat="1" applyFont="1" applyFill="1" applyBorder="1" applyAlignment="1">
      <alignment horizontal="left" wrapText="1"/>
    </xf>
    <xf numFmtId="0" fontId="47" fillId="0" borderId="23" xfId="0" applyFont="1" applyBorder="1" applyAlignment="1">
      <alignment horizontal="left"/>
    </xf>
    <xf numFmtId="6" fontId="47" fillId="0" borderId="0" xfId="0" applyNumberFormat="1" applyFont="1" applyAlignment="1">
      <alignment wrapText="1"/>
    </xf>
    <xf numFmtId="0" fontId="47" fillId="0" borderId="65" xfId="0" applyFont="1" applyBorder="1" applyAlignment="1">
      <alignment horizontal="left"/>
    </xf>
    <xf numFmtId="172" fontId="45" fillId="0" borderId="21" xfId="18" applyNumberFormat="1" applyFont="1" applyFill="1" applyBorder="1"/>
    <xf numFmtId="0" fontId="53" fillId="0" borderId="20" xfId="0" applyFont="1" applyBorder="1"/>
    <xf numFmtId="0" fontId="69" fillId="0" borderId="0" xfId="5" applyFont="1"/>
    <xf numFmtId="164" fontId="34" fillId="0" borderId="0" xfId="0" applyNumberFormat="1" applyFont="1" applyAlignment="1">
      <alignment horizontal="center"/>
    </xf>
    <xf numFmtId="0" fontId="45" fillId="0" borderId="72" xfId="16" applyFont="1" applyBorder="1" applyAlignment="1">
      <alignment horizontal="center" vertical="center"/>
    </xf>
    <xf numFmtId="164" fontId="69" fillId="0" borderId="0" xfId="0" applyNumberFormat="1" applyFont="1"/>
    <xf numFmtId="172" fontId="47" fillId="0" borderId="27" xfId="17" applyNumberFormat="1" applyFont="1" applyFill="1" applyBorder="1"/>
    <xf numFmtId="169" fontId="69" fillId="0" borderId="0" xfId="0" applyNumberFormat="1" applyFont="1"/>
    <xf numFmtId="172" fontId="47" fillId="0" borderId="28" xfId="17" applyNumberFormat="1" applyFont="1" applyFill="1" applyBorder="1"/>
    <xf numFmtId="164" fontId="67" fillId="0" borderId="20" xfId="0" applyNumberFormat="1" applyFont="1" applyBorder="1"/>
    <xf numFmtId="172" fontId="67" fillId="0" borderId="0" xfId="17" applyNumberFormat="1" applyFont="1" applyFill="1" applyBorder="1" applyAlignment="1">
      <alignment horizontal="center"/>
    </xf>
    <xf numFmtId="39" fontId="67" fillId="0" borderId="0" xfId="18" applyNumberFormat="1" applyFont="1" applyFill="1" applyBorder="1" applyAlignment="1">
      <alignment horizontal="center"/>
    </xf>
    <xf numFmtId="172" fontId="67" fillId="0" borderId="21" xfId="18" applyNumberFormat="1" applyFont="1" applyBorder="1" applyAlignment="1">
      <alignment horizontal="right"/>
    </xf>
    <xf numFmtId="2" fontId="67" fillId="0" borderId="0" xfId="18" applyNumberFormat="1" applyFont="1" applyFill="1" applyBorder="1" applyAlignment="1">
      <alignment horizontal="center"/>
    </xf>
    <xf numFmtId="169" fontId="67" fillId="0" borderId="20" xfId="0" applyNumberFormat="1" applyFont="1" applyBorder="1" applyAlignment="1">
      <alignment wrapText="1"/>
    </xf>
    <xf numFmtId="0" fontId="34" fillId="0" borderId="0" xfId="0" applyFont="1" applyAlignment="1">
      <alignment horizontal="center"/>
    </xf>
    <xf numFmtId="0" fontId="34" fillId="0" borderId="0" xfId="0" applyFont="1"/>
    <xf numFmtId="39" fontId="67" fillId="0" borderId="0" xfId="18" applyNumberFormat="1" applyFont="1" applyBorder="1" applyAlignment="1">
      <alignment horizontal="center"/>
    </xf>
    <xf numFmtId="4" fontId="67" fillId="0" borderId="0" xfId="18" applyNumberFormat="1" applyFont="1" applyFill="1" applyBorder="1" applyAlignment="1">
      <alignment horizontal="center"/>
    </xf>
    <xf numFmtId="172" fontId="47" fillId="0" borderId="11" xfId="17" applyNumberFormat="1" applyFont="1" applyFill="1" applyBorder="1"/>
    <xf numFmtId="172" fontId="47" fillId="0" borderId="19" xfId="17" applyNumberFormat="1" applyFont="1" applyFill="1" applyBorder="1"/>
    <xf numFmtId="172" fontId="67" fillId="0" borderId="23" xfId="18" applyNumberFormat="1" applyFont="1" applyFill="1" applyBorder="1" applyAlignment="1">
      <alignment horizontal="left" wrapText="1"/>
    </xf>
    <xf numFmtId="0" fontId="70" fillId="0" borderId="13" xfId="0" applyFont="1" applyBorder="1"/>
    <xf numFmtId="5" fontId="67" fillId="0" borderId="14" xfId="17" applyNumberFormat="1" applyFont="1" applyFill="1" applyBorder="1" applyAlignment="1">
      <alignment horizontal="center"/>
    </xf>
    <xf numFmtId="2" fontId="70" fillId="0" borderId="14" xfId="0" applyNumberFormat="1" applyFont="1" applyBorder="1" applyAlignment="1">
      <alignment horizontal="center"/>
    </xf>
    <xf numFmtId="172" fontId="70" fillId="0" borderId="15" xfId="18" applyNumberFormat="1" applyFont="1" applyBorder="1"/>
    <xf numFmtId="0" fontId="71" fillId="0" borderId="0" xfId="0" applyFont="1"/>
    <xf numFmtId="0" fontId="67" fillId="0" borderId="22" xfId="0" applyFont="1" applyBorder="1"/>
    <xf numFmtId="0" fontId="67" fillId="0" borderId="11" xfId="0" applyFont="1" applyBorder="1" applyAlignment="1">
      <alignment horizontal="center"/>
    </xf>
    <xf numFmtId="10" fontId="67" fillId="0" borderId="11" xfId="19" applyNumberFormat="1" applyFont="1" applyFill="1" applyBorder="1" applyAlignment="1">
      <alignment horizontal="center"/>
    </xf>
    <xf numFmtId="172" fontId="67" fillId="0" borderId="23" xfId="18" applyNumberFormat="1" applyFont="1" applyBorder="1"/>
    <xf numFmtId="0" fontId="43" fillId="0" borderId="27" xfId="0" applyFont="1" applyBorder="1" applyAlignment="1">
      <alignment horizontal="center"/>
    </xf>
    <xf numFmtId="164" fontId="72" fillId="0" borderId="0" xfId="0" applyNumberFormat="1" applyFont="1" applyAlignment="1">
      <alignment horizontal="center"/>
    </xf>
    <xf numFmtId="5" fontId="67" fillId="0" borderId="14" xfId="17" applyNumberFormat="1" applyFont="1" applyBorder="1" applyAlignment="1">
      <alignment horizontal="center"/>
    </xf>
    <xf numFmtId="0" fontId="67" fillId="0" borderId="39" xfId="0" applyFont="1" applyBorder="1"/>
    <xf numFmtId="0" fontId="67" fillId="0" borderId="40" xfId="0" applyFont="1" applyBorder="1" applyAlignment="1">
      <alignment horizontal="center"/>
    </xf>
    <xf numFmtId="172" fontId="70" fillId="0" borderId="41" xfId="18" applyNumberFormat="1" applyFont="1" applyBorder="1"/>
    <xf numFmtId="2" fontId="47" fillId="0" borderId="28" xfId="5" applyNumberFormat="1" applyFont="1" applyBorder="1" applyAlignment="1">
      <alignment horizontal="center"/>
    </xf>
    <xf numFmtId="0" fontId="69" fillId="0" borderId="0" xfId="0" applyFont="1"/>
    <xf numFmtId="0" fontId="67" fillId="0" borderId="20" xfId="0" applyFont="1" applyBorder="1"/>
    <xf numFmtId="0" fontId="67" fillId="0" borderId="0" xfId="0" applyFont="1"/>
    <xf numFmtId="10" fontId="67" fillId="0" borderId="0" xfId="17" applyNumberFormat="1" applyFont="1" applyFill="1" applyBorder="1" applyAlignment="1">
      <alignment horizontal="center"/>
    </xf>
    <xf numFmtId="172" fontId="67" fillId="0" borderId="21" xfId="0" applyNumberFormat="1" applyFont="1" applyBorder="1"/>
    <xf numFmtId="0" fontId="47" fillId="0" borderId="28" xfId="5" applyFont="1" applyBorder="1" applyAlignment="1">
      <alignment horizontal="center"/>
    </xf>
    <xf numFmtId="10" fontId="67" fillId="0" borderId="0" xfId="0" applyNumberFormat="1" applyFont="1" applyAlignment="1">
      <alignment horizontal="center"/>
    </xf>
    <xf numFmtId="0" fontId="70" fillId="0" borderId="42" xfId="0" applyFont="1" applyBorder="1"/>
    <xf numFmtId="0" fontId="67" fillId="0" borderId="43" xfId="0" applyFont="1" applyBorder="1" applyAlignment="1">
      <alignment horizontal="center"/>
    </xf>
    <xf numFmtId="172" fontId="70" fillId="0" borderId="44" xfId="18" applyNumberFormat="1" applyFont="1" applyBorder="1"/>
    <xf numFmtId="7" fontId="67" fillId="0" borderId="0" xfId="0" applyNumberFormat="1" applyFont="1" applyAlignment="1">
      <alignment horizontal="center"/>
    </xf>
    <xf numFmtId="0" fontId="67" fillId="0" borderId="73" xfId="0" applyFont="1" applyBorder="1"/>
    <xf numFmtId="10" fontId="67" fillId="0" borderId="74" xfId="19" applyNumberFormat="1" applyFont="1" applyFill="1" applyBorder="1" applyAlignment="1">
      <alignment horizontal="center"/>
    </xf>
    <xf numFmtId="10" fontId="67" fillId="0" borderId="74" xfId="0" applyNumberFormat="1" applyFont="1" applyBorder="1" applyAlignment="1">
      <alignment horizontal="center"/>
    </xf>
    <xf numFmtId="172" fontId="67" fillId="0" borderId="75" xfId="18" applyNumberFormat="1" applyFont="1" applyBorder="1"/>
    <xf numFmtId="0" fontId="67" fillId="0" borderId="24" xfId="0" applyFont="1" applyBorder="1"/>
    <xf numFmtId="10" fontId="67" fillId="0" borderId="25" xfId="0" applyNumberFormat="1" applyFont="1" applyBorder="1" applyAlignment="1">
      <alignment horizontal="center"/>
    </xf>
    <xf numFmtId="44" fontId="70" fillId="6" borderId="26" xfId="18" applyFont="1" applyFill="1" applyBorder="1"/>
    <xf numFmtId="0" fontId="70" fillId="0" borderId="51" xfId="0" applyFont="1" applyBorder="1"/>
    <xf numFmtId="0" fontId="67" fillId="0" borderId="64" xfId="0" applyFont="1" applyBorder="1" applyAlignment="1">
      <alignment horizontal="center"/>
    </xf>
    <xf numFmtId="172" fontId="70" fillId="0" borderId="65" xfId="18" applyNumberFormat="1" applyFont="1" applyBorder="1"/>
    <xf numFmtId="0" fontId="69" fillId="0" borderId="0" xfId="5" applyFont="1" applyAlignment="1">
      <alignment horizontal="right"/>
    </xf>
    <xf numFmtId="44" fontId="68" fillId="0" borderId="0" xfId="17" applyFont="1"/>
    <xf numFmtId="10" fontId="69" fillId="0" borderId="0" xfId="2" applyNumberFormat="1" applyFont="1"/>
    <xf numFmtId="10" fontId="67" fillId="0" borderId="0" xfId="19" applyNumberFormat="1" applyFont="1" applyBorder="1" applyAlignment="1">
      <alignment horizontal="center"/>
    </xf>
    <xf numFmtId="172" fontId="67" fillId="0" borderId="21" xfId="18" applyNumberFormat="1" applyFont="1" applyBorder="1"/>
    <xf numFmtId="0" fontId="73" fillId="0" borderId="0" xfId="0" applyFont="1"/>
    <xf numFmtId="2" fontId="47" fillId="0" borderId="19" xfId="5" applyNumberFormat="1" applyFont="1" applyBorder="1" applyAlignment="1">
      <alignment horizontal="center"/>
    </xf>
    <xf numFmtId="172" fontId="67" fillId="0" borderId="47" xfId="18" applyNumberFormat="1" applyFont="1" applyFill="1" applyBorder="1" applyAlignment="1">
      <alignment horizontal="left" wrapText="1"/>
    </xf>
    <xf numFmtId="1" fontId="72" fillId="0" borderId="0" xfId="0" applyNumberFormat="1" applyFont="1" applyAlignment="1">
      <alignment horizontal="center"/>
    </xf>
    <xf numFmtId="10" fontId="67" fillId="0" borderId="0" xfId="19" applyNumberFormat="1" applyFont="1" applyFill="1" applyBorder="1" applyAlignment="1">
      <alignment horizontal="center"/>
    </xf>
    <xf numFmtId="10" fontId="67" fillId="0" borderId="9" xfId="19" applyNumberFormat="1" applyFont="1" applyFill="1" applyBorder="1" applyAlignment="1">
      <alignment horizontal="center"/>
    </xf>
    <xf numFmtId="4" fontId="34" fillId="0" borderId="0" xfId="0" quotePrefix="1" applyNumberFormat="1" applyFont="1" applyAlignment="1">
      <alignment horizontal="center"/>
    </xf>
    <xf numFmtId="10" fontId="67" fillId="0" borderId="0" xfId="18" applyNumberFormat="1" applyFont="1" applyFill="1" applyBorder="1" applyAlignment="1">
      <alignment horizontal="center"/>
    </xf>
    <xf numFmtId="170" fontId="74" fillId="0" borderId="0" xfId="0" applyNumberFormat="1" applyFont="1" applyAlignment="1">
      <alignment horizontal="center"/>
    </xf>
    <xf numFmtId="0" fontId="43" fillId="23" borderId="13" xfId="0" applyFont="1" applyFill="1" applyBorder="1" applyAlignment="1">
      <alignment horizontal="center"/>
    </xf>
    <xf numFmtId="0" fontId="45" fillId="23" borderId="76" xfId="0" applyFont="1" applyFill="1" applyBorder="1" applyAlignment="1">
      <alignment wrapText="1"/>
    </xf>
    <xf numFmtId="0" fontId="45" fillId="23" borderId="15" xfId="0" applyFont="1" applyFill="1" applyBorder="1" applyAlignment="1">
      <alignment horizontal="center"/>
    </xf>
    <xf numFmtId="0" fontId="43" fillId="23" borderId="13" xfId="0" applyFont="1" applyFill="1" applyBorder="1" applyAlignment="1">
      <alignment horizontal="center" wrapText="1"/>
    </xf>
    <xf numFmtId="0" fontId="68" fillId="0" borderId="20" xfId="0" applyFont="1" applyBorder="1"/>
    <xf numFmtId="10" fontId="68" fillId="0" borderId="0" xfId="18" applyNumberFormat="1" applyFont="1" applyFill="1" applyBorder="1" applyAlignment="1">
      <alignment horizontal="center"/>
    </xf>
    <xf numFmtId="8" fontId="44" fillId="0" borderId="1" xfId="0" applyNumberFormat="1" applyFont="1" applyBorder="1" applyAlignment="1">
      <alignment wrapText="1"/>
    </xf>
    <xf numFmtId="167" fontId="43" fillId="25" borderId="21" xfId="0" applyNumberFormat="1" applyFont="1" applyFill="1" applyBorder="1"/>
    <xf numFmtId="167" fontId="44" fillId="0" borderId="0" xfId="0" applyNumberFormat="1" applyFont="1" applyAlignment="1">
      <alignment wrapText="1"/>
    </xf>
    <xf numFmtId="7" fontId="67" fillId="0" borderId="77" xfId="17" applyNumberFormat="1" applyFont="1" applyFill="1" applyBorder="1" applyAlignment="1">
      <alignment horizontal="center"/>
    </xf>
    <xf numFmtId="2" fontId="34" fillId="0" borderId="0" xfId="0" applyNumberFormat="1" applyFont="1" applyAlignment="1">
      <alignment horizontal="center"/>
    </xf>
    <xf numFmtId="167" fontId="44" fillId="25" borderId="21" xfId="0" applyNumberFormat="1" applyFont="1" applyFill="1" applyBorder="1"/>
    <xf numFmtId="0" fontId="75" fillId="0" borderId="24" xfId="16" applyFont="1" applyBorder="1"/>
    <xf numFmtId="0" fontId="75" fillId="0" borderId="25" xfId="16" applyFont="1" applyBorder="1"/>
    <xf numFmtId="10" fontId="75" fillId="0" borderId="77" xfId="19" applyNumberFormat="1" applyFont="1" applyFill="1" applyBorder="1" applyAlignment="1">
      <alignment horizontal="center"/>
    </xf>
    <xf numFmtId="0" fontId="67" fillId="0" borderId="26" xfId="0" applyFont="1" applyBorder="1" applyAlignment="1">
      <alignment horizontal="left"/>
    </xf>
    <xf numFmtId="167" fontId="44" fillId="0" borderId="14" xfId="0" applyNumberFormat="1" applyFont="1" applyBorder="1" applyAlignment="1">
      <alignment wrapText="1"/>
    </xf>
    <xf numFmtId="167" fontId="43" fillId="25" borderId="15" xfId="0" applyNumberFormat="1" applyFont="1" applyFill="1" applyBorder="1"/>
    <xf numFmtId="10" fontId="44" fillId="0" borderId="0" xfId="2" applyNumberFormat="1" applyFont="1" applyFill="1" applyBorder="1"/>
    <xf numFmtId="10" fontId="44" fillId="0" borderId="0" xfId="2" applyNumberFormat="1" applyFont="1" applyBorder="1"/>
    <xf numFmtId="164" fontId="76" fillId="0" borderId="0" xfId="0" applyNumberFormat="1" applyFont="1" applyAlignment="1">
      <alignment horizontal="center" wrapText="1"/>
    </xf>
    <xf numFmtId="8" fontId="47" fillId="0" borderId="17" xfId="0" applyNumberFormat="1" applyFont="1" applyBorder="1" applyAlignment="1">
      <alignment wrapText="1"/>
    </xf>
    <xf numFmtId="167" fontId="47" fillId="0" borderId="0" xfId="1" applyNumberFormat="1" applyFont="1" applyFill="1" applyAlignment="1">
      <alignment wrapText="1"/>
    </xf>
    <xf numFmtId="2" fontId="47" fillId="0" borderId="0" xfId="5" applyNumberFormat="1" applyFont="1" applyAlignment="1">
      <alignment horizontal="center"/>
    </xf>
    <xf numFmtId="0" fontId="49" fillId="0" borderId="0" xfId="0" applyFont="1" applyAlignment="1">
      <alignment horizontal="left" wrapText="1"/>
    </xf>
    <xf numFmtId="10" fontId="47" fillId="0" borderId="54" xfId="19" applyNumberFormat="1" applyFont="1" applyFill="1" applyBorder="1" applyAlignment="1">
      <alignment horizontal="center"/>
    </xf>
    <xf numFmtId="0" fontId="45" fillId="0" borderId="47" xfId="16" applyFont="1" applyBorder="1" applyAlignment="1">
      <alignment horizontal="center" vertical="center"/>
    </xf>
    <xf numFmtId="172" fontId="67" fillId="0" borderId="85" xfId="18" applyNumberFormat="1" applyFont="1" applyFill="1" applyBorder="1" applyAlignment="1">
      <alignment horizontal="left" wrapText="1"/>
    </xf>
    <xf numFmtId="172" fontId="67" fillId="0" borderId="61" xfId="18" applyNumberFormat="1" applyFont="1" applyFill="1" applyBorder="1" applyAlignment="1">
      <alignment horizontal="left" wrapText="1"/>
    </xf>
    <xf numFmtId="172" fontId="44" fillId="0" borderId="23" xfId="18" applyNumberFormat="1" applyFont="1" applyFill="1" applyBorder="1" applyAlignment="1">
      <alignment horizontal="left" wrapText="1"/>
    </xf>
    <xf numFmtId="172" fontId="67" fillId="0" borderId="21" xfId="18" applyNumberFormat="1" applyFont="1" applyFill="1" applyBorder="1" applyAlignment="1">
      <alignment horizontal="center"/>
    </xf>
    <xf numFmtId="172" fontId="49" fillId="0" borderId="21" xfId="18" applyNumberFormat="1" applyFont="1" applyFill="1" applyBorder="1" applyAlignment="1">
      <alignment horizontal="left" wrapText="1"/>
    </xf>
    <xf numFmtId="0" fontId="45" fillId="0" borderId="14" xfId="0" applyFont="1" applyBorder="1" applyAlignment="1">
      <alignment horizontal="center" wrapText="1"/>
    </xf>
    <xf numFmtId="0" fontId="45" fillId="0" borderId="15" xfId="0" applyFont="1" applyBorder="1" applyAlignment="1">
      <alignment horizontal="center" wrapText="1"/>
    </xf>
    <xf numFmtId="0" fontId="45" fillId="0" borderId="17" xfId="0" applyFont="1" applyBorder="1" applyAlignment="1">
      <alignment horizontal="center" wrapText="1"/>
    </xf>
    <xf numFmtId="0" fontId="45" fillId="0" borderId="18" xfId="0" applyFont="1" applyBorder="1" applyAlignment="1">
      <alignment horizontal="center" wrapText="1"/>
    </xf>
    <xf numFmtId="172" fontId="44" fillId="0" borderId="0" xfId="18" applyNumberFormat="1" applyFont="1" applyFill="1" applyBorder="1" applyAlignment="1">
      <alignment horizontal="left" wrapText="1"/>
    </xf>
    <xf numFmtId="0" fontId="47" fillId="0" borderId="0" xfId="0" applyFont="1" applyAlignment="1">
      <alignment horizontal="center" wrapText="1"/>
    </xf>
    <xf numFmtId="174" fontId="44" fillId="0" borderId="0" xfId="18" applyNumberFormat="1" applyFont="1" applyFill="1" applyBorder="1" applyAlignment="1">
      <alignment horizontal="center"/>
    </xf>
    <xf numFmtId="1" fontId="57" fillId="0" borderId="0" xfId="0" applyNumberFormat="1" applyFont="1" applyAlignment="1">
      <alignment horizontal="center" wrapText="1"/>
    </xf>
    <xf numFmtId="2" fontId="45" fillId="0" borderId="0" xfId="0" quotePrefix="1" applyNumberFormat="1" applyFont="1" applyAlignment="1">
      <alignment horizontal="center"/>
    </xf>
    <xf numFmtId="10" fontId="44" fillId="0" borderId="0" xfId="2" applyNumberFormat="1" applyFont="1" applyFill="1" applyBorder="1" applyAlignment="1">
      <alignment horizontal="center"/>
    </xf>
    <xf numFmtId="172" fontId="43" fillId="0" borderId="65" xfId="18" applyNumberFormat="1" applyFont="1" applyBorder="1"/>
    <xf numFmtId="10" fontId="44" fillId="0" borderId="0" xfId="18" applyNumberFormat="1" applyFont="1" applyBorder="1" applyAlignment="1">
      <alignment horizontal="center"/>
    </xf>
    <xf numFmtId="0" fontId="47" fillId="0" borderId="0" xfId="0" applyFont="1" applyAlignment="1">
      <alignment horizontal="center"/>
    </xf>
    <xf numFmtId="10" fontId="45" fillId="0" borderId="0" xfId="24" applyNumberFormat="1" applyFont="1" applyBorder="1"/>
    <xf numFmtId="10" fontId="45" fillId="0" borderId="64" xfId="16" applyNumberFormat="1" applyFont="1" applyBorder="1" applyAlignment="1">
      <alignment horizontal="center"/>
    </xf>
    <xf numFmtId="0" fontId="44" fillId="0" borderId="80" xfId="0" applyFont="1" applyBorder="1" applyAlignment="1">
      <alignment horizontal="left"/>
    </xf>
    <xf numFmtId="0" fontId="47" fillId="0" borderId="69" xfId="0" applyFont="1" applyBorder="1"/>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7" fillId="0" borderId="37" xfId="0" applyFont="1" applyBorder="1"/>
    <xf numFmtId="8" fontId="47" fillId="0" borderId="1" xfId="0" applyNumberFormat="1" applyFont="1" applyBorder="1" applyAlignment="1">
      <alignment wrapText="1"/>
    </xf>
    <xf numFmtId="8" fontId="45" fillId="25" borderId="38" xfId="0" applyNumberFormat="1" applyFont="1" applyFill="1" applyBorder="1"/>
    <xf numFmtId="7" fontId="47" fillId="0" borderId="1" xfId="0" applyNumberFormat="1" applyFont="1" applyBorder="1" applyAlignment="1">
      <alignment wrapText="1"/>
    </xf>
    <xf numFmtId="7" fontId="47" fillId="25" borderId="38" xfId="0" applyNumberFormat="1" applyFont="1" applyFill="1" applyBorder="1"/>
    <xf numFmtId="0" fontId="47" fillId="0" borderId="0" xfId="5" applyFont="1" applyAlignment="1">
      <alignment horizontal="center"/>
    </xf>
    <xf numFmtId="0" fontId="44" fillId="0" borderId="55" xfId="0" applyFont="1" applyBorder="1"/>
    <xf numFmtId="8" fontId="43" fillId="6" borderId="53" xfId="0" applyNumberFormat="1" applyFont="1" applyFill="1" applyBorder="1"/>
    <xf numFmtId="10" fontId="44" fillId="0" borderId="0" xfId="2" applyNumberFormat="1" applyFont="1" applyBorder="1" applyAlignment="1">
      <alignment horizontal="left"/>
    </xf>
    <xf numFmtId="0" fontId="45" fillId="0" borderId="82" xfId="16" applyFont="1" applyBorder="1" applyAlignment="1">
      <alignment horizontal="center" vertical="center"/>
    </xf>
    <xf numFmtId="172" fontId="44" fillId="0" borderId="15" xfId="18" applyNumberFormat="1" applyFont="1" applyFill="1" applyBorder="1" applyAlignment="1">
      <alignment horizontal="center"/>
    </xf>
    <xf numFmtId="0" fontId="44" fillId="0" borderId="22" xfId="0" applyFont="1" applyBorder="1" applyAlignment="1">
      <alignment horizontal="right"/>
    </xf>
    <xf numFmtId="2" fontId="44" fillId="0" borderId="27" xfId="0" applyNumberFormat="1" applyFont="1" applyBorder="1" applyAlignment="1">
      <alignment horizontal="center"/>
    </xf>
    <xf numFmtId="0" fontId="44" fillId="0" borderId="83" xfId="0" applyFont="1" applyBorder="1"/>
    <xf numFmtId="0" fontId="47" fillId="0" borderId="83" xfId="16" applyFont="1" applyBorder="1"/>
    <xf numFmtId="2" fontId="44" fillId="0" borderId="28" xfId="0" applyNumberFormat="1" applyFont="1" applyBorder="1" applyAlignment="1">
      <alignment horizontal="center"/>
    </xf>
    <xf numFmtId="7" fontId="44" fillId="0" borderId="0" xfId="0" applyNumberFormat="1" applyFont="1" applyAlignment="1">
      <alignment horizontal="center" wrapText="1"/>
    </xf>
    <xf numFmtId="10" fontId="47" fillId="0" borderId="0" xfId="0" applyNumberFormat="1" applyFont="1" applyAlignment="1">
      <alignment horizontal="center" wrapText="1"/>
    </xf>
    <xf numFmtId="0" fontId="47" fillId="0" borderId="25" xfId="16" applyFont="1" applyBorder="1"/>
    <xf numFmtId="10" fontId="47" fillId="0" borderId="25" xfId="16" applyNumberFormat="1" applyFont="1" applyBorder="1" applyAlignment="1">
      <alignment horizontal="center"/>
    </xf>
    <xf numFmtId="0" fontId="44" fillId="0" borderId="26" xfId="0" applyFont="1" applyBorder="1" applyAlignment="1">
      <alignment horizontal="left"/>
    </xf>
    <xf numFmtId="0" fontId="45" fillId="0" borderId="17" xfId="0" applyFont="1" applyBorder="1" applyAlignment="1">
      <alignment horizontal="center" vertical="center" wrapText="1"/>
    </xf>
    <xf numFmtId="0" fontId="45" fillId="0" borderId="18" xfId="0" applyFont="1" applyBorder="1" applyAlignment="1">
      <alignment horizontal="center" vertical="center" wrapText="1"/>
    </xf>
    <xf numFmtId="0" fontId="77" fillId="26" borderId="49" xfId="3" applyFont="1" applyFill="1" applyBorder="1" applyAlignment="1">
      <alignment horizontal="center"/>
    </xf>
    <xf numFmtId="0" fontId="77" fillId="26" borderId="5" xfId="3" applyFont="1" applyFill="1" applyBorder="1" applyAlignment="1">
      <alignment horizontal="center"/>
    </xf>
    <xf numFmtId="0" fontId="77" fillId="26" borderId="1" xfId="3" applyFont="1" applyFill="1" applyBorder="1" applyAlignment="1">
      <alignment horizontal="center"/>
    </xf>
    <xf numFmtId="0" fontId="77" fillId="26" borderId="0" xfId="3" applyFont="1" applyFill="1" applyAlignment="1">
      <alignment horizontal="center"/>
    </xf>
    <xf numFmtId="0" fontId="78" fillId="26" borderId="21" xfId="3" applyFont="1" applyFill="1" applyBorder="1" applyAlignment="1">
      <alignment horizontal="left"/>
    </xf>
    <xf numFmtId="14" fontId="79" fillId="0" borderId="0" xfId="5" applyNumberFormat="1" applyFont="1" applyAlignment="1">
      <alignment horizontal="left"/>
    </xf>
    <xf numFmtId="0" fontId="3" fillId="0" borderId="0" xfId="0" applyFont="1"/>
    <xf numFmtId="0" fontId="55" fillId="0" borderId="0" xfId="15" applyFont="1" applyFill="1" applyBorder="1" applyAlignment="1">
      <alignment horizontal="center"/>
    </xf>
    <xf numFmtId="172" fontId="80" fillId="0" borderId="1" xfId="0" applyNumberFormat="1" applyFont="1" applyBorder="1" applyAlignment="1">
      <alignment horizontal="center"/>
    </xf>
    <xf numFmtId="172" fontId="80" fillId="0" borderId="3" xfId="0" applyNumberFormat="1" applyFont="1" applyBorder="1" applyAlignment="1">
      <alignment horizontal="center"/>
    </xf>
    <xf numFmtId="0" fontId="78" fillId="0" borderId="38" xfId="3" applyFont="1" applyBorder="1" applyAlignment="1">
      <alignment horizontal="left"/>
    </xf>
    <xf numFmtId="0" fontId="55" fillId="0" borderId="49" xfId="0" applyFont="1" applyBorder="1"/>
    <xf numFmtId="0" fontId="55" fillId="0" borderId="4" xfId="0" applyFont="1" applyBorder="1" applyAlignment="1">
      <alignment horizontal="center" wrapText="1"/>
    </xf>
    <xf numFmtId="0" fontId="52" fillId="0" borderId="4" xfId="0" applyFont="1" applyBorder="1" applyAlignment="1">
      <alignment horizontal="center"/>
    </xf>
    <xf numFmtId="0" fontId="55" fillId="0" borderId="89" xfId="0" applyFont="1" applyBorder="1" applyAlignment="1">
      <alignment horizontal="center" wrapText="1"/>
    </xf>
    <xf numFmtId="0" fontId="55" fillId="0" borderId="0" xfId="0" applyFont="1" applyAlignment="1">
      <alignment horizontal="center" wrapText="1"/>
    </xf>
    <xf numFmtId="0" fontId="52" fillId="0" borderId="49" xfId="0" applyFont="1" applyBorder="1"/>
    <xf numFmtId="0" fontId="55" fillId="0" borderId="89" xfId="0" applyFont="1" applyBorder="1" applyAlignment="1">
      <alignment wrapText="1"/>
    </xf>
    <xf numFmtId="0" fontId="53" fillId="0" borderId="49" xfId="0" applyFont="1" applyBorder="1" applyAlignment="1">
      <alignment horizontal="center"/>
    </xf>
    <xf numFmtId="0" fontId="53" fillId="0" borderId="4" xfId="0" applyFont="1" applyBorder="1" applyAlignment="1">
      <alignment horizontal="center" wrapText="1"/>
    </xf>
    <xf numFmtId="0" fontId="53" fillId="0" borderId="4" xfId="0" applyFont="1" applyBorder="1" applyAlignment="1">
      <alignment horizontal="center"/>
    </xf>
    <xf numFmtId="0" fontId="53" fillId="0" borderId="89" xfId="0" applyFont="1" applyBorder="1" applyAlignment="1">
      <alignment horizontal="center" wrapText="1"/>
    </xf>
    <xf numFmtId="166" fontId="53" fillId="0" borderId="0" xfId="25" applyNumberFormat="1" applyFont="1" applyFill="1" applyBorder="1"/>
    <xf numFmtId="0" fontId="53" fillId="0" borderId="0" xfId="0" applyFont="1" applyAlignment="1">
      <alignment horizontal="center"/>
    </xf>
    <xf numFmtId="166" fontId="53" fillId="0" borderId="21" xfId="25" applyNumberFormat="1" applyFont="1" applyFill="1" applyBorder="1" applyAlignment="1">
      <alignment horizontal="center"/>
    </xf>
    <xf numFmtId="166" fontId="53" fillId="0" borderId="0" xfId="25" applyNumberFormat="1" applyFont="1" applyFill="1" applyBorder="1" applyAlignment="1">
      <alignment horizontal="center"/>
    </xf>
    <xf numFmtId="164" fontId="53" fillId="0" borderId="20" xfId="0" applyNumberFormat="1" applyFont="1" applyBorder="1"/>
    <xf numFmtId="166" fontId="53" fillId="0" borderId="0" xfId="0" applyNumberFormat="1" applyFont="1"/>
    <xf numFmtId="6" fontId="53" fillId="0" borderId="21" xfId="0" applyNumberFormat="1" applyFont="1" applyBorder="1" applyAlignment="1">
      <alignment horizontal="center"/>
    </xf>
    <xf numFmtId="175" fontId="0" fillId="0" borderId="0" xfId="14" applyNumberFormat="1" applyFont="1" applyFill="1"/>
    <xf numFmtId="6" fontId="53" fillId="0" borderId="0" xfId="0" applyNumberFormat="1" applyFont="1" applyAlignment="1">
      <alignment horizontal="center"/>
    </xf>
    <xf numFmtId="166" fontId="53" fillId="0" borderId="0" xfId="0" applyNumberFormat="1" applyFont="1" applyAlignment="1">
      <alignment horizontal="center"/>
    </xf>
    <xf numFmtId="172" fontId="80" fillId="0" borderId="1" xfId="0" applyNumberFormat="1" applyFont="1" applyBorder="1"/>
    <xf numFmtId="172" fontId="80" fillId="0" borderId="3" xfId="0" applyNumberFormat="1" applyFont="1" applyBorder="1"/>
    <xf numFmtId="4" fontId="53" fillId="0" borderId="0" xfId="0" applyNumberFormat="1" applyFont="1" applyAlignment="1">
      <alignment horizontal="center"/>
    </xf>
    <xf numFmtId="0" fontId="52" fillId="0" borderId="37" xfId="0" applyFont="1" applyBorder="1" applyAlignment="1">
      <alignment horizontal="center"/>
    </xf>
    <xf numFmtId="0" fontId="52" fillId="0" borderId="1" xfId="0" applyFont="1" applyBorder="1" applyAlignment="1">
      <alignment horizontal="center"/>
    </xf>
    <xf numFmtId="6" fontId="55" fillId="0" borderId="0" xfId="0" applyNumberFormat="1" applyFont="1" applyAlignment="1">
      <alignment horizontal="center"/>
    </xf>
    <xf numFmtId="166" fontId="53" fillId="0" borderId="25" xfId="0" applyNumberFormat="1" applyFont="1" applyBorder="1"/>
    <xf numFmtId="4" fontId="53" fillId="0" borderId="25" xfId="0" applyNumberFormat="1" applyFont="1" applyBorder="1" applyAlignment="1">
      <alignment horizontal="center"/>
    </xf>
    <xf numFmtId="6" fontId="53" fillId="0" borderId="26" xfId="0" applyNumberFormat="1" applyFont="1" applyBorder="1" applyAlignment="1">
      <alignment horizontal="center"/>
    </xf>
    <xf numFmtId="8" fontId="53" fillId="0" borderId="0" xfId="0" applyNumberFormat="1" applyFont="1" applyAlignment="1">
      <alignment horizontal="center"/>
    </xf>
    <xf numFmtId="0" fontId="55" fillId="0" borderId="13" xfId="0" applyFont="1" applyBorder="1"/>
    <xf numFmtId="0" fontId="48" fillId="0" borderId="14" xfId="0" applyFont="1" applyBorder="1"/>
    <xf numFmtId="0" fontId="52" fillId="0" borderId="14" xfId="0" applyFont="1" applyBorder="1" applyAlignment="1">
      <alignment horizontal="center"/>
    </xf>
    <xf numFmtId="166" fontId="52" fillId="0" borderId="15" xfId="0" applyNumberFormat="1" applyFont="1" applyBorder="1" applyAlignment="1">
      <alignment horizontal="center"/>
    </xf>
    <xf numFmtId="0" fontId="52" fillId="0" borderId="14" xfId="0" applyFont="1" applyBorder="1"/>
    <xf numFmtId="6" fontId="52" fillId="0" borderId="15" xfId="0" applyNumberFormat="1" applyFont="1" applyBorder="1" applyAlignment="1">
      <alignment horizontal="center"/>
    </xf>
    <xf numFmtId="0" fontId="55" fillId="0" borderId="39" xfId="0" applyFont="1" applyBorder="1"/>
    <xf numFmtId="0" fontId="55" fillId="0" borderId="40" xfId="0" applyFont="1" applyBorder="1"/>
    <xf numFmtId="4" fontId="55" fillId="0" borderId="40" xfId="0" applyNumberFormat="1" applyFont="1" applyBorder="1" applyAlignment="1">
      <alignment horizontal="center"/>
    </xf>
    <xf numFmtId="6" fontId="55" fillId="0" borderId="41" xfId="0" applyNumberFormat="1" applyFont="1" applyBorder="1" applyAlignment="1">
      <alignment horizontal="center"/>
    </xf>
    <xf numFmtId="0" fontId="55" fillId="0" borderId="14" xfId="0" applyFont="1" applyBorder="1"/>
    <xf numFmtId="0" fontId="55" fillId="0" borderId="14" xfId="0" applyFont="1" applyBorder="1" applyAlignment="1">
      <alignment horizontal="center"/>
    </xf>
    <xf numFmtId="6" fontId="55" fillId="0" borderId="15" xfId="0" applyNumberFormat="1" applyFont="1" applyBorder="1" applyAlignment="1">
      <alignment horizontal="center"/>
    </xf>
    <xf numFmtId="0" fontId="53" fillId="0" borderId="14" xfId="0" applyFont="1" applyBorder="1"/>
    <xf numFmtId="0" fontId="52" fillId="0" borderId="20" xfId="0" applyFont="1" applyBorder="1"/>
    <xf numFmtId="10" fontId="53" fillId="0" borderId="0" xfId="19" applyNumberFormat="1" applyFont="1" applyFill="1" applyBorder="1" applyAlignment="1">
      <alignment horizontal="center"/>
    </xf>
    <xf numFmtId="166" fontId="48" fillId="0" borderId="21" xfId="0" applyNumberFormat="1" applyFont="1" applyBorder="1" applyAlignment="1">
      <alignment horizontal="center"/>
    </xf>
    <xf numFmtId="166" fontId="52" fillId="0" borderId="0" xfId="0" applyNumberFormat="1" applyFont="1" applyAlignment="1">
      <alignment horizontal="center"/>
    </xf>
    <xf numFmtId="10" fontId="53" fillId="0" borderId="0" xfId="0" applyNumberFormat="1" applyFont="1" applyAlignment="1">
      <alignment horizontal="center"/>
    </xf>
    <xf numFmtId="6" fontId="48" fillId="0" borderId="21" xfId="0" applyNumberFormat="1" applyFont="1" applyBorder="1" applyAlignment="1">
      <alignment horizontal="center"/>
    </xf>
    <xf numFmtId="6" fontId="0" fillId="0" borderId="0" xfId="0" applyNumberFormat="1"/>
    <xf numFmtId="0" fontId="52" fillId="0" borderId="22" xfId="0" applyFont="1" applyBorder="1"/>
    <xf numFmtId="0" fontId="48" fillId="0" borderId="11" xfId="0" applyFont="1" applyBorder="1"/>
    <xf numFmtId="10" fontId="53" fillId="0" borderId="11" xfId="0" applyNumberFormat="1" applyFont="1" applyBorder="1" applyAlignment="1">
      <alignment horizontal="center"/>
    </xf>
    <xf numFmtId="6" fontId="48" fillId="0" borderId="23" xfId="0" applyNumberFormat="1" applyFont="1" applyBorder="1" applyAlignment="1">
      <alignment horizontal="center"/>
    </xf>
    <xf numFmtId="0" fontId="55" fillId="0" borderId="22" xfId="0" applyFont="1" applyBorder="1"/>
    <xf numFmtId="0" fontId="53" fillId="0" borderId="11" xfId="0" applyFont="1" applyBorder="1"/>
    <xf numFmtId="6" fontId="55" fillId="0" borderId="23" xfId="0" applyNumberFormat="1" applyFont="1" applyBorder="1" applyAlignment="1">
      <alignment horizontal="center"/>
    </xf>
    <xf numFmtId="6" fontId="53" fillId="0" borderId="23" xfId="0" applyNumberFormat="1" applyFont="1" applyBorder="1" applyAlignment="1">
      <alignment horizontal="center"/>
    </xf>
    <xf numFmtId="0" fontId="55" fillId="0" borderId="42" xfId="0" applyFont="1" applyBorder="1"/>
    <xf numFmtId="0" fontId="48" fillId="0" borderId="43" xfId="0" applyFont="1" applyBorder="1"/>
    <xf numFmtId="166" fontId="52" fillId="0" borderId="44" xfId="0" applyNumberFormat="1" applyFont="1" applyBorder="1" applyAlignment="1">
      <alignment horizontal="center"/>
    </xf>
    <xf numFmtId="6" fontId="52" fillId="0" borderId="44" xfId="0" applyNumberFormat="1" applyFont="1" applyBorder="1" applyAlignment="1">
      <alignment horizontal="center"/>
    </xf>
    <xf numFmtId="0" fontId="55" fillId="0" borderId="43" xfId="0" applyFont="1" applyBorder="1"/>
    <xf numFmtId="6" fontId="55" fillId="0" borderId="44" xfId="0" applyNumberFormat="1" applyFont="1" applyBorder="1" applyAlignment="1">
      <alignment horizontal="center"/>
    </xf>
    <xf numFmtId="0" fontId="53" fillId="0" borderId="4" xfId="0" applyFont="1" applyBorder="1"/>
    <xf numFmtId="6" fontId="55" fillId="0" borderId="89" xfId="0" applyNumberFormat="1" applyFont="1" applyBorder="1" applyAlignment="1">
      <alignment horizontal="center"/>
    </xf>
    <xf numFmtId="172" fontId="53" fillId="0" borderId="1" xfId="0" applyNumberFormat="1" applyFont="1" applyBorder="1" applyAlignment="1">
      <alignment horizontal="center"/>
    </xf>
    <xf numFmtId="172" fontId="53" fillId="0" borderId="3" xfId="0" applyNumberFormat="1" applyFont="1" applyBorder="1" applyAlignment="1">
      <alignment horizontal="center"/>
    </xf>
    <xf numFmtId="10" fontId="52" fillId="0" borderId="0" xfId="0" applyNumberFormat="1" applyFont="1" applyAlignment="1">
      <alignment horizontal="center"/>
    </xf>
    <xf numFmtId="166" fontId="52" fillId="0" borderId="21" xfId="0" applyNumberFormat="1" applyFont="1" applyBorder="1" applyAlignment="1">
      <alignment horizontal="center"/>
    </xf>
    <xf numFmtId="0" fontId="52" fillId="0" borderId="20" xfId="0" applyFont="1" applyBorder="1" applyAlignment="1">
      <alignment horizontal="center"/>
    </xf>
    <xf numFmtId="8" fontId="52" fillId="0" borderId="21" xfId="0" applyNumberFormat="1" applyFont="1" applyBorder="1" applyAlignment="1">
      <alignment horizontal="center"/>
    </xf>
    <xf numFmtId="175" fontId="2" fillId="0" borderId="0" xfId="14" applyNumberFormat="1" applyFont="1" applyFill="1" applyAlignment="1">
      <alignment horizontal="center"/>
    </xf>
    <xf numFmtId="0" fontId="55" fillId="0" borderId="20" xfId="0" applyFont="1" applyBorder="1" applyAlignment="1">
      <alignment horizontal="center"/>
    </xf>
    <xf numFmtId="6" fontId="52" fillId="0" borderId="21" xfId="0" applyNumberFormat="1" applyFont="1" applyBorder="1" applyAlignment="1">
      <alignment horizontal="center"/>
    </xf>
    <xf numFmtId="0" fontId="53" fillId="0" borderId="0" xfId="0" applyFont="1"/>
    <xf numFmtId="8" fontId="53" fillId="0" borderId="21" xfId="0" applyNumberFormat="1" applyFont="1" applyBorder="1" applyAlignment="1">
      <alignment horizontal="center"/>
    </xf>
    <xf numFmtId="0" fontId="55" fillId="0" borderId="20" xfId="0" applyFont="1" applyBorder="1"/>
    <xf numFmtId="6" fontId="55" fillId="0" borderId="21" xfId="0" applyNumberFormat="1" applyFont="1" applyBorder="1" applyAlignment="1">
      <alignment horizontal="center"/>
    </xf>
    <xf numFmtId="172" fontId="48" fillId="0" borderId="0" xfId="1" applyNumberFormat="1" applyFont="1" applyFill="1" applyBorder="1"/>
    <xf numFmtId="166" fontId="48" fillId="0" borderId="0" xfId="0" applyNumberFormat="1" applyFont="1" applyAlignment="1">
      <alignment horizontal="center"/>
    </xf>
    <xf numFmtId="172" fontId="48" fillId="0" borderId="0" xfId="0" applyNumberFormat="1" applyFont="1"/>
    <xf numFmtId="5" fontId="48" fillId="0" borderId="21" xfId="0" applyNumberFormat="1" applyFont="1" applyBorder="1" applyAlignment="1">
      <alignment horizontal="center"/>
    </xf>
    <xf numFmtId="166" fontId="53" fillId="0" borderId="21" xfId="0" applyNumberFormat="1" applyFont="1" applyBorder="1" applyAlignment="1">
      <alignment horizontal="center"/>
    </xf>
    <xf numFmtId="172" fontId="53" fillId="0" borderId="21" xfId="0" applyNumberFormat="1" applyFont="1" applyBorder="1" applyAlignment="1">
      <alignment horizontal="center"/>
    </xf>
    <xf numFmtId="0" fontId="81" fillId="0" borderId="39" xfId="0" applyFont="1" applyBorder="1" applyAlignment="1">
      <alignment wrapText="1"/>
    </xf>
    <xf numFmtId="172" fontId="53" fillId="0" borderId="40" xfId="19" applyNumberFormat="1" applyFont="1" applyFill="1" applyBorder="1" applyAlignment="1">
      <alignment horizontal="center"/>
    </xf>
    <xf numFmtId="0" fontId="53" fillId="0" borderId="40" xfId="0" applyFont="1" applyBorder="1"/>
    <xf numFmtId="166" fontId="53" fillId="0" borderId="41" xfId="0" applyNumberFormat="1" applyFont="1" applyBorder="1" applyAlignment="1">
      <alignment horizontal="center"/>
    </xf>
    <xf numFmtId="10" fontId="53" fillId="0" borderId="19" xfId="0" applyNumberFormat="1" applyFont="1" applyBorder="1" applyAlignment="1">
      <alignment horizontal="center"/>
    </xf>
    <xf numFmtId="10" fontId="53" fillId="0" borderId="10" xfId="0" applyNumberFormat="1" applyFont="1" applyBorder="1" applyAlignment="1">
      <alignment horizontal="center"/>
    </xf>
    <xf numFmtId="166" fontId="81" fillId="0" borderId="20" xfId="0" applyNumberFormat="1" applyFont="1" applyBorder="1" applyAlignment="1">
      <alignment wrapText="1"/>
    </xf>
    <xf numFmtId="172" fontId="53" fillId="0" borderId="0" xfId="1" applyNumberFormat="1" applyFont="1" applyFill="1" applyBorder="1"/>
    <xf numFmtId="166" fontId="82" fillId="0" borderId="20" xfId="0" applyNumberFormat="1" applyFont="1" applyBorder="1" applyAlignment="1">
      <alignment wrapText="1"/>
    </xf>
    <xf numFmtId="9" fontId="48" fillId="0" borderId="0" xfId="0" applyNumberFormat="1" applyFont="1"/>
    <xf numFmtId="166" fontId="48" fillId="0" borderId="21" xfId="25" applyNumberFormat="1" applyFont="1" applyFill="1" applyBorder="1" applyAlignment="1">
      <alignment horizontal="center"/>
    </xf>
    <xf numFmtId="0" fontId="81" fillId="0" borderId="20" xfId="0" applyFont="1" applyBorder="1" applyAlignment="1">
      <alignment wrapText="1"/>
    </xf>
    <xf numFmtId="172" fontId="53" fillId="0" borderId="0" xfId="19" applyNumberFormat="1" applyFont="1" applyFill="1" applyBorder="1" applyAlignment="1">
      <alignment horizontal="center"/>
    </xf>
    <xf numFmtId="166" fontId="53" fillId="0" borderId="20" xfId="0" applyNumberFormat="1" applyFont="1" applyBorder="1"/>
    <xf numFmtId="172" fontId="53" fillId="0" borderId="0" xfId="0" applyNumberFormat="1" applyFont="1"/>
    <xf numFmtId="10" fontId="53" fillId="0" borderId="1" xfId="19" applyNumberFormat="1" applyFont="1" applyFill="1" applyBorder="1" applyAlignment="1">
      <alignment horizontal="center"/>
    </xf>
    <xf numFmtId="10" fontId="53" fillId="0" borderId="3" xfId="19" applyNumberFormat="1" applyFont="1" applyFill="1" applyBorder="1" applyAlignment="1">
      <alignment horizontal="center"/>
    </xf>
    <xf numFmtId="166" fontId="48" fillId="0" borderId="20" xfId="0" applyNumberFormat="1" applyFont="1" applyBorder="1" applyAlignment="1">
      <alignment wrapText="1"/>
    </xf>
    <xf numFmtId="10" fontId="53" fillId="0" borderId="90" xfId="26" applyNumberFormat="1" applyFont="1" applyFill="1" applyBorder="1" applyAlignment="1">
      <alignment horizontal="center"/>
    </xf>
    <xf numFmtId="10" fontId="53" fillId="0" borderId="25" xfId="26" applyNumberFormat="1" applyFont="1" applyFill="1" applyBorder="1" applyAlignment="1">
      <alignment horizontal="center"/>
    </xf>
    <xf numFmtId="9" fontId="53" fillId="0" borderId="0" xfId="2" applyFont="1" applyBorder="1"/>
    <xf numFmtId="175" fontId="0" fillId="0" borderId="0" xfId="14" applyNumberFormat="1" applyFont="1" applyFill="1" applyBorder="1"/>
    <xf numFmtId="175" fontId="0" fillId="0" borderId="0" xfId="14" applyNumberFormat="1" applyFont="1" applyBorder="1"/>
    <xf numFmtId="7" fontId="48" fillId="0" borderId="21" xfId="25" applyNumberFormat="1" applyFont="1" applyFill="1" applyBorder="1" applyAlignment="1">
      <alignment horizontal="center"/>
    </xf>
    <xf numFmtId="5" fontId="53" fillId="0" borderId="0" xfId="25" applyNumberFormat="1" applyFont="1" applyFill="1" applyBorder="1" applyAlignment="1">
      <alignment horizontal="center"/>
    </xf>
    <xf numFmtId="172" fontId="80" fillId="0" borderId="28" xfId="0" applyNumberFormat="1" applyFont="1" applyBorder="1"/>
    <xf numFmtId="175" fontId="0" fillId="0" borderId="0" xfId="14" applyNumberFormat="1" applyFont="1"/>
    <xf numFmtId="10" fontId="53" fillId="0" borderId="40" xfId="0" applyNumberFormat="1" applyFont="1" applyBorder="1"/>
    <xf numFmtId="10" fontId="48" fillId="0" borderId="40" xfId="24" applyNumberFormat="1" applyFont="1" applyFill="1" applyBorder="1"/>
    <xf numFmtId="166" fontId="48" fillId="0" borderId="41" xfId="0" applyNumberFormat="1" applyFont="1" applyBorder="1" applyAlignment="1">
      <alignment horizontal="center"/>
    </xf>
    <xf numFmtId="166" fontId="55" fillId="0" borderId="0" xfId="0" applyNumberFormat="1" applyFont="1" applyAlignment="1">
      <alignment horizontal="center"/>
    </xf>
    <xf numFmtId="10" fontId="48" fillId="0" borderId="40" xfId="0" applyNumberFormat="1" applyFont="1" applyBorder="1"/>
    <xf numFmtId="0" fontId="48" fillId="0" borderId="40" xfId="0" applyFont="1" applyBorder="1"/>
    <xf numFmtId="6" fontId="48" fillId="0" borderId="41" xfId="0" applyNumberFormat="1" applyFont="1" applyBorder="1" applyAlignment="1">
      <alignment horizontal="center"/>
    </xf>
    <xf numFmtId="10" fontId="48" fillId="0" borderId="0" xfId="0" applyNumberFormat="1" applyFont="1"/>
    <xf numFmtId="10" fontId="53" fillId="0" borderId="40" xfId="0" applyNumberFormat="1" applyFont="1" applyBorder="1" applyAlignment="1">
      <alignment horizontal="center"/>
    </xf>
    <xf numFmtId="6" fontId="53" fillId="0" borderId="41" xfId="0" applyNumberFormat="1" applyFont="1" applyBorder="1" applyAlignment="1">
      <alignment horizontal="center"/>
    </xf>
    <xf numFmtId="166" fontId="55" fillId="0" borderId="23" xfId="0" applyNumberFormat="1" applyFont="1" applyBorder="1" applyAlignment="1">
      <alignment horizontal="center"/>
    </xf>
    <xf numFmtId="0" fontId="48" fillId="0" borderId="91" xfId="0" applyFont="1" applyBorder="1"/>
    <xf numFmtId="6" fontId="48" fillId="0" borderId="92" xfId="0" applyNumberFormat="1" applyFont="1" applyBorder="1" applyAlignment="1">
      <alignment horizontal="center"/>
    </xf>
    <xf numFmtId="0" fontId="48" fillId="0" borderId="4" xfId="0" applyFont="1" applyBorder="1" applyAlignment="1">
      <alignment horizontal="center"/>
    </xf>
    <xf numFmtId="0" fontId="48" fillId="0" borderId="4" xfId="0" applyFont="1" applyBorder="1"/>
    <xf numFmtId="6" fontId="52" fillId="0" borderId="89" xfId="0" applyNumberFormat="1" applyFont="1" applyBorder="1" applyAlignment="1">
      <alignment horizontal="center"/>
    </xf>
    <xf numFmtId="0" fontId="55" fillId="0" borderId="6" xfId="0" applyFont="1" applyBorder="1"/>
    <xf numFmtId="10" fontId="53" fillId="0" borderId="0" xfId="0" applyNumberFormat="1" applyFont="1"/>
    <xf numFmtId="166" fontId="55" fillId="0" borderId="21" xfId="0" applyNumberFormat="1" applyFont="1" applyBorder="1" applyAlignment="1">
      <alignment horizontal="center"/>
    </xf>
    <xf numFmtId="10" fontId="53" fillId="0" borderId="4" xfId="0" applyNumberFormat="1" applyFont="1" applyBorder="1"/>
    <xf numFmtId="6" fontId="53" fillId="0" borderId="89" xfId="0" applyNumberFormat="1" applyFont="1" applyBorder="1" applyAlignment="1">
      <alignment horizontal="center"/>
    </xf>
    <xf numFmtId="0" fontId="48" fillId="0" borderId="10" xfId="0" applyFont="1" applyBorder="1"/>
    <xf numFmtId="166" fontId="52" fillId="0" borderId="89" xfId="0" applyNumberFormat="1" applyFont="1" applyBorder="1" applyAlignment="1">
      <alignment horizontal="center"/>
    </xf>
    <xf numFmtId="0" fontId="48" fillId="0" borderId="51" xfId="0" applyFont="1" applyBorder="1"/>
    <xf numFmtId="10" fontId="53" fillId="0" borderId="64" xfId="0" applyNumberFormat="1" applyFont="1" applyBorder="1"/>
    <xf numFmtId="10" fontId="48" fillId="0" borderId="64" xfId="24" applyNumberFormat="1" applyFont="1" applyFill="1" applyBorder="1"/>
    <xf numFmtId="166" fontId="52" fillId="6" borderId="65" xfId="0" applyNumberFormat="1" applyFont="1" applyFill="1" applyBorder="1" applyAlignment="1">
      <alignment horizontal="center"/>
    </xf>
    <xf numFmtId="0" fontId="48" fillId="0" borderId="49" xfId="0" applyFont="1" applyBorder="1"/>
    <xf numFmtId="166" fontId="48" fillId="0" borderId="89" xfId="0" applyNumberFormat="1" applyFont="1" applyBorder="1" applyAlignment="1">
      <alignment horizontal="center"/>
    </xf>
    <xf numFmtId="8" fontId="48" fillId="0" borderId="21" xfId="0" applyNumberFormat="1" applyFont="1" applyBorder="1" applyAlignment="1">
      <alignment horizontal="center"/>
    </xf>
    <xf numFmtId="2" fontId="0" fillId="0" borderId="0" xfId="0" applyNumberFormat="1"/>
    <xf numFmtId="0" fontId="53" fillId="0" borderId="49" xfId="0" applyFont="1" applyBorder="1"/>
    <xf numFmtId="7" fontId="53" fillId="0" borderId="21" xfId="17" applyNumberFormat="1" applyFont="1" applyFill="1" applyBorder="1" applyAlignment="1">
      <alignment horizontal="center"/>
    </xf>
    <xf numFmtId="9" fontId="53" fillId="0" borderId="0" xfId="0" applyNumberFormat="1" applyFont="1" applyAlignment="1">
      <alignment horizontal="center"/>
    </xf>
    <xf numFmtId="0" fontId="53" fillId="0" borderId="21" xfId="0" applyFont="1" applyBorder="1"/>
    <xf numFmtId="167" fontId="0" fillId="0" borderId="0" xfId="0" applyNumberFormat="1"/>
    <xf numFmtId="44" fontId="1" fillId="0" borderId="0" xfId="25" applyFont="1"/>
    <xf numFmtId="172" fontId="0" fillId="0" borderId="0" xfId="17" applyNumberFormat="1" applyFont="1"/>
    <xf numFmtId="10" fontId="48" fillId="0" borderId="25" xfId="0" applyNumberFormat="1" applyFont="1" applyBorder="1"/>
    <xf numFmtId="0" fontId="48" fillId="0" borderId="25" xfId="0" applyFont="1" applyBorder="1"/>
    <xf numFmtId="6" fontId="52" fillId="6" borderId="26" xfId="0" applyNumberFormat="1" applyFont="1" applyFill="1" applyBorder="1" applyAlignment="1">
      <alignment horizontal="center"/>
    </xf>
    <xf numFmtId="7" fontId="48" fillId="0" borderId="0" xfId="17" applyNumberFormat="1" applyFont="1" applyFill="1" applyBorder="1" applyAlignment="1">
      <alignment horizontal="center"/>
    </xf>
    <xf numFmtId="0" fontId="48" fillId="0" borderId="0" xfId="0" applyFont="1" applyAlignment="1">
      <alignment horizontal="center"/>
    </xf>
    <xf numFmtId="10" fontId="48" fillId="0" borderId="64" xfId="0" applyNumberFormat="1" applyFont="1" applyBorder="1"/>
    <xf numFmtId="10" fontId="52" fillId="0" borderId="64" xfId="0" applyNumberFormat="1" applyFont="1" applyBorder="1"/>
    <xf numFmtId="7" fontId="52" fillId="6" borderId="65" xfId="25" applyNumberFormat="1" applyFont="1" applyFill="1" applyBorder="1" applyAlignment="1"/>
    <xf numFmtId="167" fontId="53" fillId="0" borderId="21" xfId="0" applyNumberFormat="1" applyFont="1" applyBorder="1" applyAlignment="1">
      <alignment horizontal="center"/>
    </xf>
    <xf numFmtId="10" fontId="0" fillId="0" borderId="0" xfId="24" applyNumberFormat="1" applyFont="1"/>
    <xf numFmtId="6" fontId="52" fillId="0" borderId="26" xfId="0" applyNumberFormat="1" applyFont="1" applyBorder="1" applyAlignment="1">
      <alignment horizontal="center"/>
    </xf>
    <xf numFmtId="175" fontId="0" fillId="0" borderId="0" xfId="0" applyNumberFormat="1"/>
    <xf numFmtId="7" fontId="48" fillId="0" borderId="0" xfId="25" applyNumberFormat="1" applyFont="1" applyFill="1" applyBorder="1" applyAlignment="1">
      <alignment horizontal="center"/>
    </xf>
    <xf numFmtId="0" fontId="48" fillId="0" borderId="0" xfId="25" applyNumberFormat="1" applyFont="1" applyFill="1" applyBorder="1" applyAlignment="1">
      <alignment horizontal="center"/>
    </xf>
    <xf numFmtId="5" fontId="48" fillId="0" borderId="21" xfId="25" applyNumberFormat="1" applyFont="1" applyFill="1" applyBorder="1" applyAlignment="1">
      <alignment horizontal="center"/>
    </xf>
    <xf numFmtId="43" fontId="0" fillId="0" borderId="0" xfId="0" applyNumberFormat="1"/>
    <xf numFmtId="44" fontId="0" fillId="0" borderId="0" xfId="17" applyFont="1"/>
    <xf numFmtId="0" fontId="53" fillId="0" borderId="51" xfId="0" applyFont="1" applyBorder="1"/>
    <xf numFmtId="0" fontId="53" fillId="0" borderId="64" xfId="0" applyFont="1" applyBorder="1"/>
    <xf numFmtId="7" fontId="55" fillId="6" borderId="65" xfId="25" applyNumberFormat="1" applyFont="1" applyFill="1" applyBorder="1" applyAlignment="1">
      <alignment horizontal="center"/>
    </xf>
    <xf numFmtId="7" fontId="0" fillId="0" borderId="0" xfId="0" applyNumberFormat="1"/>
    <xf numFmtId="8" fontId="0" fillId="0" borderId="0" xfId="0" applyNumberFormat="1"/>
    <xf numFmtId="0" fontId="84" fillId="28" borderId="0" xfId="0" applyFont="1" applyFill="1"/>
    <xf numFmtId="166" fontId="84" fillId="28" borderId="0" xfId="0" applyNumberFormat="1" applyFont="1" applyFill="1"/>
    <xf numFmtId="39" fontId="84" fillId="28" borderId="0" xfId="0" applyNumberFormat="1" applyFont="1" applyFill="1" applyAlignment="1">
      <alignment horizontal="right"/>
    </xf>
    <xf numFmtId="5" fontId="84" fillId="0" borderId="0" xfId="0" applyNumberFormat="1" applyFont="1"/>
    <xf numFmtId="175" fontId="48" fillId="0" borderId="0" xfId="14" applyNumberFormat="1" applyFont="1" applyFill="1" applyBorder="1"/>
    <xf numFmtId="44" fontId="48" fillId="0" borderId="0" xfId="25" applyFont="1" applyFill="1" applyBorder="1" applyAlignment="1">
      <alignment horizontal="center"/>
    </xf>
    <xf numFmtId="0" fontId="85" fillId="0" borderId="0" xfId="0" applyFont="1"/>
    <xf numFmtId="10" fontId="48" fillId="0" borderId="0" xfId="19" applyNumberFormat="1" applyFont="1" applyFill="1" applyBorder="1"/>
    <xf numFmtId="7" fontId="84" fillId="0" borderId="0" xfId="0" applyNumberFormat="1" applyFont="1"/>
    <xf numFmtId="7" fontId="86" fillId="0" borderId="0" xfId="0" applyNumberFormat="1" applyFont="1"/>
    <xf numFmtId="4" fontId="48" fillId="0" borderId="51" xfId="0" applyNumberFormat="1" applyFont="1" applyBorder="1"/>
    <xf numFmtId="0" fontId="52" fillId="0" borderId="64" xfId="0" applyFont="1" applyBorder="1"/>
    <xf numFmtId="6" fontId="52" fillId="6" borderId="65" xfId="0" applyNumberFormat="1" applyFont="1" applyFill="1" applyBorder="1" applyAlignment="1">
      <alignment horizontal="center"/>
    </xf>
    <xf numFmtId="10" fontId="1" fillId="0" borderId="0" xfId="19" applyNumberFormat="1" applyFont="1"/>
    <xf numFmtId="175" fontId="0" fillId="0" borderId="0" xfId="14" applyNumberFormat="1" applyFont="1" applyAlignment="1">
      <alignment horizontal="left" vertical="top"/>
    </xf>
    <xf numFmtId="9" fontId="1" fillId="0" borderId="0" xfId="19" applyFont="1"/>
    <xf numFmtId="6" fontId="3" fillId="0" borderId="0" xfId="0" applyNumberFormat="1" applyFont="1" applyAlignment="1">
      <alignment horizontal="center"/>
    </xf>
    <xf numFmtId="0" fontId="64" fillId="0" borderId="0" xfId="0" applyFont="1" applyAlignment="1">
      <alignment horizontal="left" vertical="center" indent="7"/>
    </xf>
    <xf numFmtId="44" fontId="0" fillId="0" borderId="0" xfId="1" applyFont="1"/>
    <xf numFmtId="0" fontId="64" fillId="0" borderId="0" xfId="0" applyFont="1" applyAlignment="1">
      <alignment vertical="center"/>
    </xf>
    <xf numFmtId="10" fontId="2" fillId="0" borderId="0" xfId="0" applyNumberFormat="1" applyFont="1" applyAlignment="1">
      <alignment horizontal="center"/>
    </xf>
    <xf numFmtId="0" fontId="88" fillId="0" borderId="16" xfId="0" applyFont="1" applyBorder="1" applyAlignment="1">
      <alignment vertical="center"/>
    </xf>
    <xf numFmtId="0" fontId="88" fillId="0" borderId="17" xfId="0" applyFont="1" applyBorder="1" applyAlignment="1">
      <alignment vertical="center"/>
    </xf>
    <xf numFmtId="0" fontId="88" fillId="0" borderId="18" xfId="0" applyFont="1" applyBorder="1" applyAlignment="1">
      <alignment vertical="center"/>
    </xf>
    <xf numFmtId="0" fontId="89" fillId="0" borderId="84" xfId="0" applyFont="1" applyBorder="1" applyAlignment="1">
      <alignment horizontal="center" vertical="center"/>
    </xf>
    <xf numFmtId="0" fontId="89" fillId="0" borderId="15" xfId="0" applyFont="1" applyBorder="1" applyAlignment="1">
      <alignment horizontal="center" vertical="center"/>
    </xf>
    <xf numFmtId="0" fontId="90" fillId="0" borderId="81" xfId="0" applyFont="1" applyBorder="1" applyAlignment="1">
      <alignment horizontal="center" vertical="center" wrapText="1"/>
    </xf>
    <xf numFmtId="164" fontId="7" fillId="0" borderId="82" xfId="5" applyNumberFormat="1" applyFont="1" applyBorder="1" applyAlignment="1">
      <alignment horizontal="center" vertical="center" wrapText="1"/>
    </xf>
    <xf numFmtId="44" fontId="89" fillId="0" borderId="15" xfId="1" applyFont="1" applyBorder="1" applyAlignment="1">
      <alignment horizontal="center" vertical="center" wrapText="1"/>
    </xf>
    <xf numFmtId="0" fontId="89" fillId="0" borderId="0" xfId="0" applyFont="1" applyAlignment="1">
      <alignment horizontal="center" vertical="center"/>
    </xf>
    <xf numFmtId="0" fontId="88" fillId="0" borderId="20" xfId="0" applyFont="1" applyBorder="1" applyAlignment="1">
      <alignment vertical="center"/>
    </xf>
    <xf numFmtId="0" fontId="88" fillId="0" borderId="0" xfId="0" applyFont="1" applyAlignment="1">
      <alignment vertical="center"/>
    </xf>
    <xf numFmtId="0" fontId="88" fillId="0" borderId="21" xfId="0" applyFont="1" applyBorder="1" applyAlignment="1">
      <alignment vertical="center"/>
    </xf>
    <xf numFmtId="0" fontId="91" fillId="0" borderId="13" xfId="0" applyFont="1" applyBorder="1" applyAlignment="1">
      <alignment vertical="center" wrapText="1"/>
    </xf>
    <xf numFmtId="0" fontId="91" fillId="0" borderId="15" xfId="0" applyFont="1" applyBorder="1" applyAlignment="1">
      <alignment vertical="center"/>
    </xf>
    <xf numFmtId="44" fontId="91" fillId="0" borderId="15" xfId="1" applyFont="1" applyBorder="1" applyAlignment="1">
      <alignment vertical="center"/>
    </xf>
    <xf numFmtId="0" fontId="91" fillId="0" borderId="0" xfId="0" applyFont="1" applyAlignment="1">
      <alignment vertical="center"/>
    </xf>
    <xf numFmtId="0" fontId="88" fillId="0" borderId="24" xfId="0" applyFont="1" applyBorder="1" applyAlignment="1">
      <alignment vertical="center"/>
    </xf>
    <xf numFmtId="0" fontId="88" fillId="0" borderId="25" xfId="0" applyFont="1" applyBorder="1" applyAlignment="1">
      <alignment vertical="center"/>
    </xf>
    <xf numFmtId="0" fontId="88" fillId="0" borderId="26" xfId="0" applyFont="1" applyBorder="1" applyAlignment="1">
      <alignment vertical="center"/>
    </xf>
    <xf numFmtId="0" fontId="91" fillId="0" borderId="93" xfId="0" applyFont="1" applyBorder="1" applyAlignment="1">
      <alignment horizontal="left" vertical="center" wrapText="1"/>
    </xf>
    <xf numFmtId="8" fontId="91" fillId="0" borderId="26" xfId="0" applyNumberFormat="1" applyFont="1" applyBorder="1" applyAlignment="1">
      <alignment horizontal="center" vertical="center" wrapText="1"/>
    </xf>
    <xf numFmtId="10" fontId="91" fillId="0" borderId="26" xfId="2" applyNumberFormat="1" applyFont="1" applyBorder="1" applyAlignment="1">
      <alignment horizontal="center" vertical="center" wrapText="1"/>
    </xf>
    <xf numFmtId="10" fontId="91" fillId="0" borderId="26" xfId="0" applyNumberFormat="1" applyFont="1" applyBorder="1" applyAlignment="1">
      <alignment horizontal="center" vertical="center" wrapText="1"/>
    </xf>
    <xf numFmtId="44" fontId="91" fillId="0" borderId="26" xfId="1" applyFont="1" applyBorder="1" applyAlignment="1">
      <alignment horizontal="center" vertical="center" wrapText="1"/>
    </xf>
    <xf numFmtId="10" fontId="91" fillId="0" borderId="0" xfId="2" applyNumberFormat="1" applyFont="1" applyAlignment="1">
      <alignment horizontal="center" vertical="center" wrapText="1"/>
    </xf>
    <xf numFmtId="0" fontId="91" fillId="0" borderId="94" xfId="0" applyFont="1" applyBorder="1" applyAlignment="1">
      <alignment vertical="center" wrapText="1"/>
    </xf>
    <xf numFmtId="8" fontId="91" fillId="0" borderId="94" xfId="0" applyNumberFormat="1" applyFont="1" applyBorder="1" applyAlignment="1">
      <alignment horizontal="center" vertical="center" wrapText="1"/>
    </xf>
    <xf numFmtId="0" fontId="91" fillId="0" borderId="93" xfId="0" applyFont="1" applyBorder="1" applyAlignment="1">
      <alignment vertical="center" wrapText="1"/>
    </xf>
    <xf numFmtId="8" fontId="91" fillId="0" borderId="93" xfId="0" applyNumberFormat="1" applyFont="1" applyBorder="1" applyAlignment="1">
      <alignment horizontal="center" vertical="center" wrapText="1"/>
    </xf>
    <xf numFmtId="0" fontId="91" fillId="0" borderId="15" xfId="0" applyFont="1" applyBorder="1" applyAlignment="1">
      <alignment vertical="center" wrapText="1"/>
    </xf>
    <xf numFmtId="0" fontId="89" fillId="0" borderId="13" xfId="0" applyFont="1" applyBorder="1" applyAlignment="1">
      <alignment horizontal="center" vertical="center"/>
    </xf>
    <xf numFmtId="0" fontId="91" fillId="0" borderId="93" xfId="0" applyFont="1" applyBorder="1" applyAlignment="1">
      <alignment vertical="center"/>
    </xf>
    <xf numFmtId="0" fontId="91" fillId="0" borderId="13" xfId="0" applyFont="1" applyBorder="1" applyAlignment="1">
      <alignment vertical="center"/>
    </xf>
    <xf numFmtId="8" fontId="64" fillId="0" borderId="26" xfId="0" applyNumberFormat="1" applyFont="1" applyBorder="1" applyAlignment="1">
      <alignment horizontal="center" vertical="center"/>
    </xf>
    <xf numFmtId="44" fontId="91" fillId="0" borderId="15" xfId="1" applyFont="1" applyBorder="1" applyAlignment="1">
      <alignment vertical="center" wrapText="1"/>
    </xf>
    <xf numFmtId="0" fontId="91" fillId="0" borderId="0" xfId="0" applyFont="1" applyAlignment="1">
      <alignment vertical="center" wrapText="1"/>
    </xf>
    <xf numFmtId="0" fontId="91" fillId="0" borderId="26" xfId="0" applyFont="1" applyBorder="1" applyAlignment="1">
      <alignment horizontal="center" vertical="center" wrapText="1"/>
    </xf>
    <xf numFmtId="0" fontId="91" fillId="0" borderId="0" xfId="0" applyFont="1" applyAlignment="1">
      <alignment horizontal="center" vertical="center" wrapText="1"/>
    </xf>
    <xf numFmtId="0" fontId="42" fillId="0" borderId="0" xfId="0" applyFont="1"/>
    <xf numFmtId="0" fontId="21" fillId="0" borderId="0" xfId="8" applyFont="1" applyAlignment="1">
      <alignment horizontal="left" vertical="top" wrapText="1"/>
    </xf>
    <xf numFmtId="0" fontId="21" fillId="0" borderId="0" xfId="8" applyFont="1" applyAlignment="1">
      <alignment horizontal="center"/>
    </xf>
    <xf numFmtId="0" fontId="23" fillId="0" borderId="0" xfId="8" applyFont="1" applyAlignment="1">
      <alignment horizontal="center"/>
    </xf>
    <xf numFmtId="0" fontId="21" fillId="0" borderId="18" xfId="8" applyFont="1" applyBorder="1" applyAlignment="1">
      <alignment horizontal="left" vertical="center" wrapText="1"/>
    </xf>
    <xf numFmtId="0" fontId="21" fillId="0" borderId="26" xfId="8" applyFont="1" applyBorder="1" applyAlignment="1">
      <alignment horizontal="left" vertical="center" wrapText="1"/>
    </xf>
    <xf numFmtId="0" fontId="28" fillId="0" borderId="17" xfId="0" applyFont="1" applyBorder="1" applyAlignment="1">
      <alignment horizontal="center"/>
    </xf>
    <xf numFmtId="0" fontId="21" fillId="0" borderId="17" xfId="8" applyFont="1" applyBorder="1" applyAlignment="1">
      <alignment vertical="top" wrapText="1"/>
    </xf>
    <xf numFmtId="0" fontId="21" fillId="0" borderId="25" xfId="8" applyFont="1" applyBorder="1" applyAlignment="1">
      <alignment vertical="top" wrapText="1"/>
    </xf>
    <xf numFmtId="49" fontId="21" fillId="0" borderId="18" xfId="8" applyNumberFormat="1" applyFont="1" applyBorder="1" applyAlignment="1">
      <alignment horizontal="left" vertical="center" wrapText="1"/>
    </xf>
    <xf numFmtId="49" fontId="21" fillId="0" borderId="26" xfId="8" applyNumberFormat="1" applyFont="1" applyBorder="1" applyAlignment="1">
      <alignment horizontal="left" vertical="center" wrapText="1"/>
    </xf>
    <xf numFmtId="0" fontId="21" fillId="0" borderId="21" xfId="8" applyFont="1" applyBorder="1" applyAlignment="1">
      <alignment horizontal="left" vertical="center" wrapText="1"/>
    </xf>
    <xf numFmtId="0" fontId="21" fillId="0" borderId="17" xfId="8" applyFont="1" applyBorder="1" applyAlignment="1">
      <alignment horizontal="left" vertical="top" wrapText="1"/>
    </xf>
    <xf numFmtId="0" fontId="21" fillId="0" borderId="25" xfId="8" applyFont="1" applyBorder="1" applyAlignment="1">
      <alignment horizontal="left" vertical="top" wrapText="1"/>
    </xf>
    <xf numFmtId="0" fontId="27" fillId="16" borderId="17" xfId="10" applyFont="1" applyFill="1" applyBorder="1" applyAlignment="1">
      <alignment horizontal="left"/>
    </xf>
    <xf numFmtId="0" fontId="27" fillId="16" borderId="18" xfId="10" applyFont="1" applyFill="1" applyBorder="1" applyAlignment="1">
      <alignment horizontal="left"/>
    </xf>
    <xf numFmtId="0" fontId="11" fillId="0" borderId="2" xfId="12" applyBorder="1" applyAlignment="1">
      <alignment horizontal="right"/>
    </xf>
    <xf numFmtId="0" fontId="11" fillId="0" borderId="0" xfId="12" applyAlignment="1">
      <alignment horizontal="right"/>
    </xf>
    <xf numFmtId="0" fontId="70" fillId="8" borderId="78" xfId="0" applyFont="1" applyFill="1" applyBorder="1" applyAlignment="1">
      <alignment horizontal="center"/>
    </xf>
    <xf numFmtId="0" fontId="70" fillId="8" borderId="70" xfId="0" applyFont="1" applyFill="1" applyBorder="1" applyAlignment="1">
      <alignment horizontal="center"/>
    </xf>
    <xf numFmtId="0" fontId="70" fillId="8" borderId="79" xfId="0" applyFont="1" applyFill="1" applyBorder="1" applyAlignment="1">
      <alignment horizontal="center"/>
    </xf>
    <xf numFmtId="0" fontId="77" fillId="26" borderId="49" xfId="3" applyFont="1" applyFill="1" applyBorder="1" applyAlignment="1">
      <alignment horizontal="center"/>
    </xf>
    <xf numFmtId="0" fontId="77" fillId="26" borderId="5" xfId="3" applyFont="1" applyFill="1" applyBorder="1" applyAlignment="1">
      <alignment horizontal="center"/>
    </xf>
    <xf numFmtId="0" fontId="55" fillId="8" borderId="78" xfId="15" applyFont="1" applyFill="1" applyBorder="1" applyAlignment="1">
      <alignment horizontal="center"/>
    </xf>
    <xf numFmtId="0" fontId="55" fillId="8" borderId="70" xfId="15" applyFont="1" applyFill="1" applyBorder="1" applyAlignment="1">
      <alignment horizontal="center"/>
    </xf>
    <xf numFmtId="0" fontId="55" fillId="8" borderId="79" xfId="15" applyFont="1" applyFill="1" applyBorder="1" applyAlignment="1">
      <alignment horizontal="center"/>
    </xf>
    <xf numFmtId="0" fontId="55" fillId="27" borderId="78" xfId="15" applyFont="1" applyFill="1" applyBorder="1" applyAlignment="1">
      <alignment horizontal="center"/>
    </xf>
    <xf numFmtId="0" fontId="55" fillId="27" borderId="70" xfId="15" applyFont="1" applyFill="1" applyBorder="1" applyAlignment="1">
      <alignment horizontal="center"/>
    </xf>
    <xf numFmtId="0" fontId="55" fillId="27" borderId="79" xfId="15" applyFont="1" applyFill="1" applyBorder="1" applyAlignment="1">
      <alignment horizontal="center"/>
    </xf>
    <xf numFmtId="0" fontId="52" fillId="0" borderId="49" xfId="0" applyFont="1" applyBorder="1" applyAlignment="1">
      <alignment horizontal="center"/>
    </xf>
    <xf numFmtId="0" fontId="52" fillId="0" borderId="5" xfId="0" applyFont="1" applyBorder="1" applyAlignment="1">
      <alignment horizontal="center"/>
    </xf>
    <xf numFmtId="0" fontId="55" fillId="27" borderId="86" xfId="15" applyFont="1" applyFill="1" applyBorder="1" applyAlignment="1">
      <alignment horizontal="center"/>
    </xf>
    <xf numFmtId="0" fontId="55" fillId="27" borderId="87" xfId="15" applyFont="1" applyFill="1" applyBorder="1" applyAlignment="1">
      <alignment horizontal="center"/>
    </xf>
    <xf numFmtId="0" fontId="55" fillId="27" borderId="88" xfId="15" applyFont="1" applyFill="1" applyBorder="1" applyAlignment="1">
      <alignment horizontal="center"/>
    </xf>
    <xf numFmtId="0" fontId="55" fillId="0" borderId="49" xfId="3" applyFont="1" applyBorder="1" applyAlignment="1">
      <alignment horizontal="center"/>
    </xf>
    <xf numFmtId="0" fontId="55" fillId="0" borderId="5" xfId="3" applyFont="1" applyBorder="1" applyAlignment="1">
      <alignment horizontal="center"/>
    </xf>
    <xf numFmtId="0" fontId="77" fillId="0" borderId="49" xfId="3" applyFont="1" applyBorder="1" applyAlignment="1">
      <alignment horizontal="center" vertical="center"/>
    </xf>
    <xf numFmtId="0" fontId="77" fillId="0" borderId="5" xfId="3" applyFont="1" applyBorder="1" applyAlignment="1">
      <alignment horizontal="center" vertical="center"/>
    </xf>
    <xf numFmtId="0" fontId="52" fillId="0" borderId="37" xfId="0" applyFont="1" applyBorder="1" applyAlignment="1">
      <alignment horizontal="center"/>
    </xf>
    <xf numFmtId="0" fontId="52" fillId="0" borderId="1" xfId="0" applyFont="1" applyBorder="1" applyAlignment="1">
      <alignment horizontal="center"/>
    </xf>
    <xf numFmtId="0" fontId="7" fillId="27" borderId="86" xfId="15" applyFont="1" applyFill="1" applyBorder="1" applyAlignment="1">
      <alignment horizontal="center"/>
    </xf>
    <xf numFmtId="0" fontId="7" fillId="27" borderId="87" xfId="15" applyFont="1" applyFill="1" applyBorder="1" applyAlignment="1">
      <alignment horizontal="center"/>
    </xf>
    <xf numFmtId="0" fontId="7" fillId="27" borderId="88" xfId="15" applyFont="1" applyFill="1" applyBorder="1" applyAlignment="1">
      <alignment horizontal="center"/>
    </xf>
    <xf numFmtId="0" fontId="52" fillId="0" borderId="37" xfId="0" applyFont="1" applyBorder="1" applyAlignment="1">
      <alignment horizontal="center" wrapText="1"/>
    </xf>
    <xf numFmtId="0" fontId="52" fillId="0" borderId="1" xfId="0" applyFont="1" applyBorder="1" applyAlignment="1">
      <alignment horizontal="center" wrapText="1"/>
    </xf>
    <xf numFmtId="0" fontId="52" fillId="0" borderId="49" xfId="0" applyFont="1" applyBorder="1" applyAlignment="1">
      <alignment horizontal="center" wrapText="1"/>
    </xf>
    <xf numFmtId="0" fontId="52" fillId="0" borderId="5" xfId="0" applyFont="1" applyBorder="1" applyAlignment="1">
      <alignment horizontal="center" wrapText="1"/>
    </xf>
    <xf numFmtId="0" fontId="54" fillId="0" borderId="0" xfId="0" applyFont="1" applyAlignment="1">
      <alignment horizontal="center"/>
    </xf>
    <xf numFmtId="0" fontId="48" fillId="2" borderId="37" xfId="0" applyFont="1" applyFill="1" applyBorder="1" applyAlignment="1">
      <alignment horizontal="center"/>
    </xf>
    <xf numFmtId="0" fontId="48" fillId="2" borderId="1" xfId="0" applyFont="1" applyFill="1" applyBorder="1" applyAlignment="1">
      <alignment horizontal="center"/>
    </xf>
    <xf numFmtId="0" fontId="48" fillId="2" borderId="3" xfId="0" applyFont="1" applyFill="1" applyBorder="1" applyAlignment="1">
      <alignment horizontal="center"/>
    </xf>
    <xf numFmtId="0" fontId="48" fillId="2" borderId="38" xfId="0" applyFont="1" applyFill="1" applyBorder="1" applyAlignment="1">
      <alignment horizontal="center"/>
    </xf>
    <xf numFmtId="0" fontId="52" fillId="2" borderId="48" xfId="0" applyFont="1" applyFill="1" applyBorder="1" applyAlignment="1">
      <alignment horizontal="center"/>
    </xf>
    <xf numFmtId="0" fontId="52" fillId="2" borderId="19" xfId="0" applyFont="1" applyFill="1" applyBorder="1" applyAlignment="1">
      <alignment horizontal="center"/>
    </xf>
    <xf numFmtId="0" fontId="55" fillId="26" borderId="49" xfId="3" applyFont="1" applyFill="1" applyBorder="1" applyAlignment="1">
      <alignment horizontal="center"/>
    </xf>
    <xf numFmtId="0" fontId="55" fillId="26" borderId="5" xfId="3" applyFont="1" applyFill="1" applyBorder="1" applyAlignment="1">
      <alignment horizontal="center"/>
    </xf>
    <xf numFmtId="0" fontId="55" fillId="26" borderId="51" xfId="3" applyFont="1" applyFill="1" applyBorder="1" applyAlignment="1">
      <alignment horizontal="center"/>
    </xf>
    <xf numFmtId="0" fontId="55" fillId="26" borderId="52" xfId="3" applyFont="1" applyFill="1" applyBorder="1" applyAlignment="1">
      <alignment horizontal="center"/>
    </xf>
    <xf numFmtId="0" fontId="47" fillId="0" borderId="0" xfId="5" applyFont="1" applyAlignment="1">
      <alignment horizontal="left" wrapText="1"/>
    </xf>
    <xf numFmtId="0" fontId="47" fillId="0" borderId="21" xfId="5" applyFont="1" applyBorder="1" applyAlignment="1">
      <alignment horizontal="left" wrapText="1"/>
    </xf>
    <xf numFmtId="0" fontId="44" fillId="22" borderId="16" xfId="0" applyFont="1" applyFill="1" applyBorder="1" applyAlignment="1">
      <alignment horizontal="center" wrapText="1"/>
    </xf>
    <xf numFmtId="0" fontId="44" fillId="22" borderId="17" xfId="0" applyFont="1" applyFill="1" applyBorder="1" applyAlignment="1">
      <alignment horizontal="center" wrapText="1"/>
    </xf>
    <xf numFmtId="0" fontId="44" fillId="22" borderId="18" xfId="0" applyFont="1" applyFill="1" applyBorder="1" applyAlignment="1">
      <alignment horizontal="center" wrapText="1"/>
    </xf>
    <xf numFmtId="0" fontId="43" fillId="22" borderId="13" xfId="0" applyFont="1" applyFill="1" applyBorder="1" applyAlignment="1">
      <alignment horizontal="center" wrapText="1"/>
    </xf>
    <xf numFmtId="0" fontId="44" fillId="0" borderId="14" xfId="0" applyFont="1" applyBorder="1" applyAlignment="1">
      <alignment horizontal="center" wrapText="1"/>
    </xf>
    <xf numFmtId="0" fontId="44" fillId="0" borderId="15" xfId="0" applyFont="1" applyBorder="1" applyAlignment="1">
      <alignment horizontal="center" wrapText="1"/>
    </xf>
    <xf numFmtId="0" fontId="45" fillId="0" borderId="81" xfId="16" applyFont="1" applyBorder="1" applyAlignment="1">
      <alignment horizontal="center" vertical="center"/>
    </xf>
    <xf numFmtId="0" fontId="45" fillId="0" borderId="14" xfId="16" applyFont="1" applyBorder="1" applyAlignment="1">
      <alignment horizontal="center" vertical="center"/>
    </xf>
    <xf numFmtId="0" fontId="45" fillId="23" borderId="13" xfId="0" applyFont="1" applyFill="1" applyBorder="1" applyAlignment="1">
      <alignment horizontal="center" wrapText="1"/>
    </xf>
    <xf numFmtId="0" fontId="45" fillId="23" borderId="14" xfId="0" applyFont="1" applyFill="1" applyBorder="1" applyAlignment="1">
      <alignment horizontal="center" wrapText="1"/>
    </xf>
    <xf numFmtId="0" fontId="45" fillId="23" borderId="15" xfId="0" applyFont="1" applyFill="1" applyBorder="1" applyAlignment="1">
      <alignment horizontal="center" wrapText="1"/>
    </xf>
    <xf numFmtId="0" fontId="43" fillId="0" borderId="13" xfId="0" applyFont="1" applyBorder="1" applyAlignment="1">
      <alignment horizontal="center"/>
    </xf>
    <xf numFmtId="0" fontId="43" fillId="0" borderId="14" xfId="0" applyFont="1" applyBorder="1" applyAlignment="1">
      <alignment horizontal="center"/>
    </xf>
    <xf numFmtId="0" fontId="45" fillId="22" borderId="13" xfId="0" applyFont="1" applyFill="1" applyBorder="1" applyAlignment="1">
      <alignment horizontal="center" wrapText="1"/>
    </xf>
    <xf numFmtId="0" fontId="45" fillId="22" borderId="14" xfId="0" applyFont="1" applyFill="1" applyBorder="1" applyAlignment="1">
      <alignment horizontal="center" wrapText="1"/>
    </xf>
    <xf numFmtId="0" fontId="45" fillId="22" borderId="15" xfId="0" applyFont="1" applyFill="1" applyBorder="1" applyAlignment="1">
      <alignment horizontal="center" wrapText="1"/>
    </xf>
    <xf numFmtId="0" fontId="43" fillId="22" borderId="16" xfId="0" applyFont="1" applyFill="1" applyBorder="1" applyAlignment="1">
      <alignment horizontal="center" wrapText="1"/>
    </xf>
    <xf numFmtId="0" fontId="43" fillId="22" borderId="17" xfId="0" applyFont="1" applyFill="1" applyBorder="1" applyAlignment="1">
      <alignment horizontal="center" wrapText="1"/>
    </xf>
    <xf numFmtId="0" fontId="43" fillId="22" borderId="18" xfId="0" applyFont="1" applyFill="1" applyBorder="1" applyAlignment="1">
      <alignment horizontal="center" wrapText="1"/>
    </xf>
    <xf numFmtId="0" fontId="45" fillId="22" borderId="66" xfId="15" applyFont="1" applyFill="1" applyBorder="1" applyAlignment="1">
      <alignment horizontal="center" wrapText="1"/>
    </xf>
    <xf numFmtId="0" fontId="45" fillId="22" borderId="67" xfId="15" applyFont="1" applyFill="1" applyBorder="1" applyAlignment="1">
      <alignment horizontal="center"/>
    </xf>
    <xf numFmtId="0" fontId="45" fillId="22" borderId="68" xfId="15" applyFont="1" applyFill="1" applyBorder="1" applyAlignment="1">
      <alignment horizontal="center"/>
    </xf>
    <xf numFmtId="0" fontId="45" fillId="0" borderId="69" xfId="16" applyFont="1" applyBorder="1" applyAlignment="1">
      <alignment horizontal="center" vertical="center"/>
    </xf>
    <xf numFmtId="0" fontId="45" fillId="0" borderId="70" xfId="16" applyFont="1" applyBorder="1" applyAlignment="1">
      <alignment horizontal="center" vertical="center"/>
    </xf>
    <xf numFmtId="0" fontId="43" fillId="0" borderId="62" xfId="0" applyFont="1" applyBorder="1" applyAlignment="1">
      <alignment horizontal="center"/>
    </xf>
    <xf numFmtId="0" fontId="43" fillId="0" borderId="7" xfId="0" applyFont="1" applyBorder="1" applyAlignment="1">
      <alignment horizontal="center"/>
    </xf>
    <xf numFmtId="0" fontId="44" fillId="0" borderId="22" xfId="0" applyFont="1" applyBorder="1" applyAlignment="1">
      <alignment horizontal="left" wrapText="1"/>
    </xf>
    <xf numFmtId="0" fontId="44" fillId="0" borderId="11" xfId="0" applyFont="1" applyBorder="1" applyAlignment="1">
      <alignment horizontal="left" wrapText="1"/>
    </xf>
    <xf numFmtId="0" fontId="45" fillId="23" borderId="16" xfId="0" applyFont="1" applyFill="1" applyBorder="1" applyAlignment="1">
      <alignment horizontal="center" wrapText="1"/>
    </xf>
    <xf numFmtId="0" fontId="45" fillId="23" borderId="17" xfId="0" applyFont="1" applyFill="1" applyBorder="1" applyAlignment="1">
      <alignment horizontal="center" wrapText="1"/>
    </xf>
    <xf numFmtId="0" fontId="45" fillId="23" borderId="18" xfId="0" applyFont="1" applyFill="1" applyBorder="1" applyAlignment="1">
      <alignment horizontal="center" wrapText="1"/>
    </xf>
    <xf numFmtId="164" fontId="45" fillId="0" borderId="0" xfId="0" applyNumberFormat="1" applyFont="1" applyAlignment="1">
      <alignment horizontal="center"/>
    </xf>
    <xf numFmtId="0" fontId="43" fillId="22" borderId="78" xfId="0" applyFont="1" applyFill="1" applyBorder="1" applyAlignment="1">
      <alignment horizontal="center" wrapText="1"/>
    </xf>
    <xf numFmtId="0" fontId="43" fillId="22" borderId="70" xfId="0" applyFont="1" applyFill="1" applyBorder="1" applyAlignment="1">
      <alignment horizontal="center" wrapText="1"/>
    </xf>
    <xf numFmtId="0" fontId="43" fillId="22" borderId="79" xfId="0" applyFont="1" applyFill="1" applyBorder="1" applyAlignment="1">
      <alignment horizontal="center" wrapText="1"/>
    </xf>
    <xf numFmtId="0" fontId="47" fillId="0" borderId="48" xfId="16" applyFont="1" applyBorder="1" applyAlignment="1">
      <alignment horizontal="center" vertical="center"/>
    </xf>
    <xf numFmtId="0" fontId="47" fillId="0" borderId="11" xfId="16" applyFont="1" applyBorder="1" applyAlignment="1">
      <alignment horizontal="center" vertical="center"/>
    </xf>
    <xf numFmtId="0" fontId="47" fillId="0" borderId="10" xfId="16" applyFont="1" applyBorder="1" applyAlignment="1">
      <alignment horizontal="center" vertical="center"/>
    </xf>
    <xf numFmtId="0" fontId="44" fillId="0" borderId="62" xfId="0" applyFont="1" applyBorder="1" applyAlignment="1">
      <alignment horizontal="center"/>
    </xf>
    <xf numFmtId="0" fontId="44" fillId="0" borderId="7" xfId="0" applyFont="1" applyBorder="1" applyAlignment="1">
      <alignment horizontal="center"/>
    </xf>
    <xf numFmtId="0" fontId="44" fillId="0" borderId="8" xfId="0" applyFont="1" applyBorder="1" applyAlignment="1">
      <alignment horizontal="center"/>
    </xf>
    <xf numFmtId="0" fontId="67" fillId="0" borderId="24" xfId="0" applyFont="1" applyBorder="1" applyAlignment="1">
      <alignment horizontal="left" wrapText="1"/>
    </xf>
    <xf numFmtId="0" fontId="67" fillId="0" borderId="25" xfId="0" applyFont="1" applyBorder="1" applyAlignment="1">
      <alignment horizontal="left" wrapText="1"/>
    </xf>
    <xf numFmtId="0" fontId="45" fillId="0" borderId="71" xfId="16" applyFont="1" applyBorder="1" applyAlignment="1">
      <alignment horizontal="center" vertical="center"/>
    </xf>
    <xf numFmtId="0" fontId="43" fillId="0" borderId="8" xfId="0" applyFont="1" applyBorder="1" applyAlignment="1">
      <alignment horizontal="center"/>
    </xf>
    <xf numFmtId="0" fontId="70" fillId="0" borderId="62" xfId="0" applyFont="1" applyBorder="1" applyAlignment="1">
      <alignment horizontal="center"/>
    </xf>
    <xf numFmtId="0" fontId="70" fillId="0" borderId="7" xfId="0" applyFont="1" applyBorder="1" applyAlignment="1">
      <alignment horizontal="center"/>
    </xf>
    <xf numFmtId="0" fontId="70" fillId="0" borderId="8" xfId="0" applyFont="1" applyBorder="1" applyAlignment="1">
      <alignment horizontal="center"/>
    </xf>
    <xf numFmtId="0" fontId="45" fillId="22" borderId="16" xfId="0" applyFont="1" applyFill="1" applyBorder="1" applyAlignment="1">
      <alignment horizontal="center" wrapText="1"/>
    </xf>
    <xf numFmtId="0" fontId="45" fillId="22" borderId="17" xfId="0" applyFont="1" applyFill="1" applyBorder="1" applyAlignment="1">
      <alignment horizontal="center" wrapText="1"/>
    </xf>
    <xf numFmtId="0" fontId="45" fillId="22" borderId="18" xfId="0" applyFont="1" applyFill="1" applyBorder="1" applyAlignment="1">
      <alignment horizontal="center" wrapText="1"/>
    </xf>
    <xf numFmtId="0" fontId="47" fillId="22" borderId="57" xfId="15" applyFont="1" applyFill="1" applyBorder="1" applyAlignment="1">
      <alignment horizontal="center"/>
    </xf>
    <xf numFmtId="0" fontId="47" fillId="22" borderId="58" xfId="15" applyFont="1" applyFill="1" applyBorder="1" applyAlignment="1">
      <alignment horizontal="center"/>
    </xf>
    <xf numFmtId="0" fontId="47" fillId="22" borderId="59" xfId="15" applyFont="1" applyFill="1" applyBorder="1" applyAlignment="1">
      <alignment horizontal="center"/>
    </xf>
    <xf numFmtId="0" fontId="45" fillId="0" borderId="34" xfId="16" applyFont="1" applyBorder="1" applyAlignment="1">
      <alignment horizontal="center" vertical="center"/>
    </xf>
    <xf numFmtId="0" fontId="45" fillId="0" borderId="29" xfId="16" applyFont="1" applyBorder="1" applyAlignment="1">
      <alignment horizontal="center" vertical="center"/>
    </xf>
    <xf numFmtId="0" fontId="45" fillId="0" borderId="60" xfId="16" applyFont="1" applyBorder="1" applyAlignment="1">
      <alignment horizontal="center" vertical="center"/>
    </xf>
    <xf numFmtId="0" fontId="45" fillId="0" borderId="62" xfId="0" applyFont="1" applyBorder="1" applyAlignment="1">
      <alignment horizontal="center"/>
    </xf>
    <xf numFmtId="0" fontId="45" fillId="0" borderId="7" xfId="0" applyFont="1" applyBorder="1" applyAlignment="1">
      <alignment horizontal="center"/>
    </xf>
    <xf numFmtId="0" fontId="45" fillId="0" borderId="8" xfId="0" applyFont="1" applyBorder="1" applyAlignment="1">
      <alignment horizontal="center"/>
    </xf>
    <xf numFmtId="173" fontId="7" fillId="23" borderId="16" xfId="15" applyNumberFormat="1" applyFont="1" applyFill="1" applyBorder="1" applyAlignment="1">
      <alignment horizontal="center" vertical="center"/>
    </xf>
    <xf numFmtId="173" fontId="7" fillId="23" borderId="17" xfId="15" applyNumberFormat="1" applyFont="1" applyFill="1" applyBorder="1" applyAlignment="1">
      <alignment horizontal="center" vertical="center"/>
    </xf>
    <xf numFmtId="173" fontId="7" fillId="23" borderId="18" xfId="15" applyNumberFormat="1" applyFont="1" applyFill="1" applyBorder="1" applyAlignment="1">
      <alignment horizontal="center" vertical="center"/>
    </xf>
    <xf numFmtId="0" fontId="43" fillId="22" borderId="34" xfId="0" applyFont="1" applyFill="1" applyBorder="1" applyAlignment="1">
      <alignment horizontal="center" wrapText="1"/>
    </xf>
    <xf numFmtId="0" fontId="43" fillId="22" borderId="35" xfId="0" applyFont="1" applyFill="1" applyBorder="1" applyAlignment="1">
      <alignment horizontal="center" wrapText="1"/>
    </xf>
    <xf numFmtId="0" fontId="43" fillId="22" borderId="36" xfId="0" applyFont="1" applyFill="1" applyBorder="1" applyAlignment="1">
      <alignment horizontal="center" wrapText="1"/>
    </xf>
    <xf numFmtId="0" fontId="2" fillId="22" borderId="13" xfId="0" applyFont="1" applyFill="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45" fillId="0" borderId="37" xfId="16" applyFont="1" applyBorder="1" applyAlignment="1">
      <alignment horizontal="center" vertical="center"/>
    </xf>
    <xf numFmtId="0" fontId="45" fillId="0" borderId="1" xfId="16" applyFont="1" applyBorder="1" applyAlignment="1">
      <alignment horizontal="center" vertical="center"/>
    </xf>
    <xf numFmtId="0" fontId="2" fillId="0" borderId="37" xfId="0" applyFont="1" applyBorder="1" applyAlignment="1">
      <alignment horizontal="center"/>
    </xf>
    <xf numFmtId="0" fontId="2" fillId="0" borderId="1" xfId="0" applyFont="1" applyBorder="1" applyAlignment="1">
      <alignment horizontal="center"/>
    </xf>
    <xf numFmtId="173" fontId="7" fillId="22" borderId="13" xfId="15" applyNumberFormat="1" applyFont="1" applyFill="1" applyBorder="1" applyAlignment="1">
      <alignment horizontal="center" vertical="center"/>
    </xf>
    <xf numFmtId="173" fontId="7" fillId="22" borderId="14" xfId="15" applyNumberFormat="1" applyFont="1" applyFill="1" applyBorder="1" applyAlignment="1">
      <alignment horizontal="center" vertical="center"/>
    </xf>
    <xf numFmtId="173" fontId="7" fillId="22" borderId="15" xfId="15" applyNumberFormat="1" applyFont="1" applyFill="1" applyBorder="1" applyAlignment="1">
      <alignment horizontal="center" vertical="center"/>
    </xf>
    <xf numFmtId="173" fontId="50" fillId="23" borderId="13" xfId="15" applyNumberFormat="1" applyFont="1" applyFill="1" applyBorder="1" applyAlignment="1">
      <alignment horizontal="center" vertical="center"/>
    </xf>
    <xf numFmtId="173" fontId="50" fillId="23" borderId="14" xfId="15" applyNumberFormat="1" applyFont="1" applyFill="1" applyBorder="1" applyAlignment="1">
      <alignment horizontal="center" vertical="center"/>
    </xf>
    <xf numFmtId="173" fontId="50" fillId="23" borderId="15" xfId="15" applyNumberFormat="1" applyFont="1" applyFill="1" applyBorder="1" applyAlignment="1">
      <alignment horizontal="center" vertical="center"/>
    </xf>
    <xf numFmtId="0" fontId="0" fillId="0" borderId="45" xfId="0" applyBorder="1"/>
    <xf numFmtId="0" fontId="0" fillId="0" borderId="46" xfId="0" applyBorder="1"/>
    <xf numFmtId="0" fontId="0" fillId="0" borderId="49" xfId="0" applyBorder="1"/>
    <xf numFmtId="0" fontId="0" fillId="0" borderId="5" xfId="0" applyBorder="1"/>
    <xf numFmtId="0" fontId="0" fillId="0" borderId="51" xfId="0" applyBorder="1" applyAlignment="1">
      <alignment wrapText="1"/>
    </xf>
    <xf numFmtId="0" fontId="0" fillId="0" borderId="52" xfId="0" applyBorder="1" applyAlignment="1">
      <alignment wrapText="1"/>
    </xf>
    <xf numFmtId="173" fontId="7" fillId="23" borderId="13" xfId="15" applyNumberFormat="1" applyFont="1" applyFill="1" applyBorder="1" applyAlignment="1">
      <alignment horizontal="center" vertical="center"/>
    </xf>
    <xf numFmtId="173" fontId="7" fillId="23" borderId="14" xfId="15" applyNumberFormat="1" applyFont="1" applyFill="1" applyBorder="1" applyAlignment="1">
      <alignment horizontal="center" vertical="center"/>
    </xf>
    <xf numFmtId="173" fontId="7" fillId="23" borderId="15" xfId="15" applyNumberFormat="1" applyFont="1" applyFill="1" applyBorder="1" applyAlignment="1">
      <alignment horizontal="center" vertical="center"/>
    </xf>
    <xf numFmtId="0" fontId="0" fillId="0" borderId="49" xfId="0" applyBorder="1" applyAlignment="1">
      <alignment wrapText="1"/>
    </xf>
    <xf numFmtId="0" fontId="0" fillId="0" borderId="5" xfId="0" applyBorder="1" applyAlignment="1">
      <alignment wrapText="1"/>
    </xf>
    <xf numFmtId="167" fontId="6" fillId="23" borderId="37" xfId="5" applyNumberFormat="1" applyFont="1" applyFill="1" applyBorder="1" applyAlignment="1">
      <alignment horizontal="center" vertical="center"/>
    </xf>
    <xf numFmtId="167" fontId="6" fillId="23" borderId="1" xfId="5" applyNumberFormat="1" applyFont="1" applyFill="1" applyBorder="1" applyAlignment="1">
      <alignment horizontal="center" vertical="center"/>
    </xf>
    <xf numFmtId="167" fontId="6" fillId="23" borderId="38" xfId="5" applyNumberFormat="1" applyFont="1" applyFill="1" applyBorder="1" applyAlignment="1">
      <alignment horizontal="center" vertical="center"/>
    </xf>
    <xf numFmtId="0" fontId="42" fillId="0" borderId="0" xfId="0" applyFont="1" applyAlignment="1">
      <alignment horizontal="center" wrapText="1"/>
    </xf>
    <xf numFmtId="0" fontId="42" fillId="0" borderId="49" xfId="0" applyFont="1" applyBorder="1"/>
    <xf numFmtId="0" fontId="42" fillId="0" borderId="51" xfId="0" applyFont="1" applyBorder="1" applyAlignment="1">
      <alignment wrapText="1"/>
    </xf>
    <xf numFmtId="0" fontId="42" fillId="0" borderId="52" xfId="0" applyFont="1" applyBorder="1" applyAlignment="1">
      <alignment wrapText="1"/>
    </xf>
    <xf numFmtId="0" fontId="6" fillId="0" borderId="51" xfId="0" applyFont="1" applyBorder="1" applyAlignment="1">
      <alignment horizontal="center"/>
    </xf>
    <xf numFmtId="0" fontId="6" fillId="0" borderId="52"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2" borderId="1" xfId="3" applyFont="1" applyFill="1" applyBorder="1" applyAlignment="1">
      <alignment horizontal="center"/>
    </xf>
    <xf numFmtId="0" fontId="4" fillId="3" borderId="3" xfId="3" applyFont="1" applyFill="1" applyBorder="1" applyAlignment="1">
      <alignment horizontal="center"/>
    </xf>
    <xf numFmtId="0" fontId="4" fillId="3" borderId="4" xfId="3" applyFont="1" applyFill="1" applyBorder="1" applyAlignment="1">
      <alignment horizontal="center"/>
    </xf>
    <xf numFmtId="0" fontId="4" fillId="3" borderId="5" xfId="3" applyFont="1" applyFill="1" applyBorder="1" applyAlignment="1">
      <alignment horizontal="center"/>
    </xf>
    <xf numFmtId="0" fontId="7" fillId="8" borderId="3" xfId="7" applyFont="1" applyFill="1" applyBorder="1" applyAlignment="1">
      <alignment horizontal="center" vertical="center"/>
    </xf>
    <xf numFmtId="0" fontId="7" fillId="8" borderId="4" xfId="7" applyFont="1" applyFill="1" applyBorder="1" applyAlignment="1">
      <alignment horizontal="center" vertical="center"/>
    </xf>
    <xf numFmtId="0" fontId="7" fillId="8" borderId="5" xfId="7" applyFont="1" applyFill="1" applyBorder="1" applyAlignment="1">
      <alignment horizontal="center" vertical="center"/>
    </xf>
    <xf numFmtId="0" fontId="7" fillId="0" borderId="11" xfId="7" applyFont="1" applyBorder="1" applyAlignment="1">
      <alignment horizontal="center" vertical="center"/>
    </xf>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2" fillId="11" borderId="1" xfId="0" applyFont="1" applyFill="1" applyBorder="1" applyAlignment="1">
      <alignment horizontal="left" vertical="center" wrapText="1"/>
    </xf>
  </cellXfs>
  <cellStyles count="27">
    <cellStyle name="Comma" xfId="14" builtinId="3"/>
    <cellStyle name="Currency" xfId="1" builtinId="4"/>
    <cellStyle name="Currency 2" xfId="21" xr:uid="{4ADDBDCF-0392-447C-A273-FAD6EB1C1D4E}"/>
    <cellStyle name="Currency 2 2" xfId="17" xr:uid="{26A6022D-08A9-488E-B9F8-ACBC07EA5790}"/>
    <cellStyle name="Currency 4" xfId="22" xr:uid="{5E007E1E-7BD2-468C-8985-2579674F5FB0}"/>
    <cellStyle name="Currency 4 2 2" xfId="18" xr:uid="{8B8CB313-B8C6-49E3-8738-E8979D543545}"/>
    <cellStyle name="Currency 48" xfId="20" xr:uid="{5DBBB013-223F-4ED7-87E1-663CD740B058}"/>
    <cellStyle name="Currency 6" xfId="25" xr:uid="{DE698FAF-7071-4435-AC55-32AC9BC42830}"/>
    <cellStyle name="Input" xfId="15" builtinId="20"/>
    <cellStyle name="Normal" xfId="0" builtinId="0"/>
    <cellStyle name="Normal 10" xfId="10" xr:uid="{923ED901-DBA9-41BA-BC2F-C664169B6B5F}"/>
    <cellStyle name="Normal 18 2" xfId="11" xr:uid="{AFFE96A8-82DF-45A7-A99D-548919502357}"/>
    <cellStyle name="Normal 2 2 2" xfId="5" xr:uid="{C268E477-B5F5-4C54-B4C1-9412B55ECC83}"/>
    <cellStyle name="Normal 2 2 3" xfId="3" xr:uid="{7E896F0E-62E4-45BD-B8F8-E0CCB35D594C}"/>
    <cellStyle name="Normal 2 3 2" xfId="4" xr:uid="{11BB443E-B9DE-42B5-B842-112FBA77DDC2}"/>
    <cellStyle name="Normal 3" xfId="23" xr:uid="{D5DA6BB5-666F-443D-861C-AEC2088D58C2}"/>
    <cellStyle name="Normal 3 2" xfId="7" xr:uid="{A7E06B40-29DE-48E3-8D07-996B6E968075}"/>
    <cellStyle name="Normal 4 2 2" xfId="12" xr:uid="{AD182638-3298-4050-B097-2D1408705891}"/>
    <cellStyle name="Normal 5 10" xfId="8" xr:uid="{C996A439-5954-44CE-B0BE-0D76E008CA48}"/>
    <cellStyle name="Normal 7" xfId="16" xr:uid="{2CDE48AF-950B-473F-BE25-BBD1B4E64D42}"/>
    <cellStyle name="Normal 8 2" xfId="6" xr:uid="{453A267E-9362-481F-A460-6EA443747E9E}"/>
    <cellStyle name="Percent" xfId="2" builtinId="5"/>
    <cellStyle name="Percent 10" xfId="24" xr:uid="{3C0FFA4F-7A47-4CE8-9516-ED37808FD008}"/>
    <cellStyle name="Percent 2 2 2" xfId="13" xr:uid="{1078663A-302C-4D37-A8AF-B09188934378}"/>
    <cellStyle name="Percent 2 2 3" xfId="9" xr:uid="{C4AF0DCE-822B-41D8-BD71-00FB3565DBBE}"/>
    <cellStyle name="Percent 3" xfId="26" xr:uid="{10CD3115-B4AE-4D5D-A70A-7465A87A9DA8}"/>
    <cellStyle name="Percent 6" xfId="19" xr:uid="{E1D15BC1-F660-4AE9-B810-FE864B4237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oneCellAnchor>
    <xdr:from>
      <xdr:col>1</xdr:col>
      <xdr:colOff>0</xdr:colOff>
      <xdr:row>33</xdr:row>
      <xdr:rowOff>40006</xdr:rowOff>
    </xdr:from>
    <xdr:ext cx="1028700" cy="45719"/>
    <xdr:sp macro="" textlink="">
      <xdr:nvSpPr>
        <xdr:cNvPr id="2" name="TextBox 1">
          <a:extLst>
            <a:ext uri="{FF2B5EF4-FFF2-40B4-BE49-F238E27FC236}">
              <a16:creationId xmlns:a16="http://schemas.microsoft.com/office/drawing/2014/main" id="{EFE2AA90-9494-411F-826C-B8CE3BBD5088}"/>
            </a:ext>
          </a:extLst>
        </xdr:cNvPr>
        <xdr:cNvSpPr txBox="1"/>
      </xdr:nvSpPr>
      <xdr:spPr>
        <a:xfrm flipV="1">
          <a:off x="142875" y="7507606"/>
          <a:ext cx="1028700" cy="45719"/>
        </a:xfrm>
        <a:prstGeom prst="rect">
          <a:avLst/>
        </a:prstGeom>
        <a:gradFill>
          <a:gsLst>
            <a:gs pos="0">
              <a:schemeClr val="accent3">
                <a:lumMod val="72000"/>
                <a:lumOff val="28000"/>
                <a:alpha val="43000"/>
              </a:schemeClr>
            </a:gs>
            <a:gs pos="7001">
              <a:srgbClr val="E6E6E6"/>
            </a:gs>
            <a:gs pos="2000">
              <a:srgbClr val="7D8496"/>
            </a:gs>
            <a:gs pos="8000">
              <a:srgbClr val="E6E6E6"/>
            </a:gs>
            <a:gs pos="6000">
              <a:srgbClr val="D7D8DA"/>
            </a:gs>
            <a:gs pos="1000">
              <a:srgbClr val="7D8496"/>
            </a:gs>
            <a:gs pos="100000">
              <a:srgbClr val="E6E6E6"/>
            </a:gs>
          </a:gsLst>
          <a:lin ang="5400000" scaled="0"/>
        </a:gradFill>
        <a:ln>
          <a:solidFill>
            <a:schemeClr val="tx1">
              <a:alpha val="7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106680</xdr:colOff>
      <xdr:row>33</xdr:row>
      <xdr:rowOff>83343</xdr:rowOff>
    </xdr:from>
    <xdr:ext cx="45719" cy="45719"/>
    <xdr:sp macro="" textlink="">
      <xdr:nvSpPr>
        <xdr:cNvPr id="2" name="TextBox 1">
          <a:extLst>
            <a:ext uri="{FF2B5EF4-FFF2-40B4-BE49-F238E27FC236}">
              <a16:creationId xmlns:a16="http://schemas.microsoft.com/office/drawing/2014/main" id="{F8CB3C99-C2B8-4B53-AC6C-7CC059E1D51A}"/>
            </a:ext>
          </a:extLst>
        </xdr:cNvPr>
        <xdr:cNvSpPr txBox="1"/>
      </xdr:nvSpPr>
      <xdr:spPr>
        <a:xfrm flipV="1">
          <a:off x="6393180" y="8189118"/>
          <a:ext cx="45719" cy="45719"/>
        </a:xfrm>
        <a:prstGeom prst="rect">
          <a:avLst/>
        </a:prstGeom>
        <a:gradFill>
          <a:gsLst>
            <a:gs pos="0">
              <a:schemeClr val="accent3">
                <a:lumMod val="72000"/>
                <a:lumOff val="28000"/>
                <a:alpha val="43000"/>
              </a:schemeClr>
            </a:gs>
            <a:gs pos="7001">
              <a:srgbClr val="E6E6E6"/>
            </a:gs>
            <a:gs pos="2000">
              <a:srgbClr val="7D8496"/>
            </a:gs>
            <a:gs pos="8000">
              <a:srgbClr val="E6E6E6"/>
            </a:gs>
            <a:gs pos="6000">
              <a:srgbClr val="D7D8DA"/>
            </a:gs>
            <a:gs pos="1000">
              <a:srgbClr val="7D8496"/>
            </a:gs>
            <a:gs pos="100000">
              <a:srgbClr val="E6E6E6"/>
            </a:gs>
          </a:gsLst>
          <a:lin ang="5400000" scaled="0"/>
        </a:gradFill>
        <a:ln>
          <a:solidFill>
            <a:schemeClr val="tx1">
              <a:alpha val="7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1" baseline="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1079500</xdr:colOff>
      <xdr:row>38</xdr:row>
      <xdr:rowOff>52917</xdr:rowOff>
    </xdr:from>
    <xdr:ext cx="184731" cy="264560"/>
    <xdr:sp macro="" textlink="">
      <xdr:nvSpPr>
        <xdr:cNvPr id="2" name="TextBox 1">
          <a:extLst>
            <a:ext uri="{FF2B5EF4-FFF2-40B4-BE49-F238E27FC236}">
              <a16:creationId xmlns:a16="http://schemas.microsoft.com/office/drawing/2014/main" id="{40BA738C-A24A-4B88-B6E1-59EB3FBEBF42}"/>
            </a:ext>
          </a:extLst>
        </xdr:cNvPr>
        <xdr:cNvSpPr txBox="1"/>
      </xdr:nvSpPr>
      <xdr:spPr>
        <a:xfrm>
          <a:off x="4860925" y="74728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1_Placement%20and%20Support%20Services\Rate%20Review%202024%20(FY25)\1.%20Strategy%20Materials\1.%20DCF%20Models%20FY25%20draft%202.5%20update%20stipend%20shannon.xlsx" TargetMode="External"/><Relationship Id="rId1" Type="http://schemas.openxmlformats.org/officeDocument/2006/relationships/externalLinkPath" Target="file:///X:\Administrative%20Services-POS%20Policy%20Office\Rate%20Setting\Rate%20Projects\CMR%20411_Placement%20and%20Support%20Services\Rate%20Review%202024%20(FY25)\1.%20Strategy%20Materials\1.%20DCF%20Models%20FY25%20draft%202.5%20update%20stipend%20shannon.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1_Placement%20and%20Support%20Services\Rate%20Review%202024%20(FY25)\1.%20Strategy%20Materials\Archive\DCF%20Models%20Post%20PH%20wip%20with%20FI%20(FY23%20final).xlsx" TargetMode="External"/><Relationship Id="rId1" Type="http://schemas.openxmlformats.org/officeDocument/2006/relationships/externalLinkPath" Target="file:///X:\Administrative%20Services-POS%20Policy%20Office\Rate%20Setting\Rate%20Projects\CMR%20411_Placement%20and%20Support%20Services\Rate%20Review%202024%20(FY25)\1.%20Strategy%20Materials\Archive\DCF%20Models%20Post%20PH%20wip%20with%20FI%20(FY23%20final).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1_Placement%20and%20Support%20Services\Rate%20Review%202024%20(FY25)\1.%20Strategy%20Materials\Shared%20Living%20Rate%20Review%20FINAL%20V2.xlsx" TargetMode="External"/><Relationship Id="rId1" Type="http://schemas.openxmlformats.org/officeDocument/2006/relationships/externalLinkPath" Target="file:///X:\Administrative%20Services-POS%20Policy%20Office\Rate%20Setting\Rate%20Projects\CMR%20411_Placement%20and%20Support%20Services\Rate%20Review%202024%20(FY25)\1.%20Strategy%20Materials\Shared%20Living%20Rate%20Review%20FINAL%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govt.state.ma.us\DFS\CONTRACT\Reports\Attendance%20Summaries\Monthly%20Attendance%20Summary%20FY21%202021_06_10.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F FALL 2023"/>
      <sheetName val="M2022 BLS SALARY CHART (53_PCT)"/>
      <sheetName val="M2020 Benchmark Chart"/>
      <sheetName val="CAF Fall 2021 rpt"/>
      <sheetName val="IFC &amp; Enhanced FC"/>
      <sheetName val="IFC Family Residential"/>
      <sheetName val="Transition to Adulthood"/>
      <sheetName val="Emerg Homes &amp; Exploited Youth"/>
      <sheetName val="Child Home Based Rehab"/>
      <sheetName val="Acute A &amp; B"/>
      <sheetName val="Support Models wip"/>
      <sheetName val="Support Models "/>
      <sheetName val="AMSS products"/>
      <sheetName val="Complete Rate Chart "/>
      <sheetName val="Fiscal Impact"/>
      <sheetName val="PSS BTL UFR FY22"/>
      <sheetName val="FY21 FAS0 UFR"/>
    </sheetNames>
    <sheetDataSet>
      <sheetData sheetId="0">
        <row r="30">
          <cell r="CR30">
            <v>2.5758086673353865E-2</v>
          </cell>
        </row>
      </sheetData>
      <sheetData sheetId="1">
        <row r="6">
          <cell r="C6">
            <v>41600</v>
          </cell>
        </row>
        <row r="7">
          <cell r="J7">
            <v>0.18394825041561585</v>
          </cell>
        </row>
        <row r="8">
          <cell r="C8">
            <v>53206.566400000003</v>
          </cell>
        </row>
        <row r="12">
          <cell r="C12">
            <v>58616.063999999998</v>
          </cell>
        </row>
        <row r="14">
          <cell r="C14">
            <v>64330.864000000001</v>
          </cell>
        </row>
        <row r="16">
          <cell r="C16">
            <v>65676.416000000012</v>
          </cell>
        </row>
        <row r="17">
          <cell r="C17">
            <v>38.753100000000003</v>
          </cell>
        </row>
        <row r="18">
          <cell r="C18">
            <v>80606.448000000004</v>
          </cell>
        </row>
        <row r="22">
          <cell r="C22">
            <v>79415.232000000018</v>
          </cell>
        </row>
        <row r="32">
          <cell r="C32">
            <v>102258.624</v>
          </cell>
        </row>
        <row r="38">
          <cell r="C38">
            <v>0.27379999999999999</v>
          </cell>
        </row>
        <row r="41">
          <cell r="C41">
            <v>0.12</v>
          </cell>
        </row>
        <row r="42">
          <cell r="C42">
            <v>2.5758086673353865E-2</v>
          </cell>
        </row>
      </sheetData>
      <sheetData sheetId="2"/>
      <sheetData sheetId="3"/>
      <sheetData sheetId="4">
        <row r="3">
          <cell r="B3">
            <v>58616.063999999998</v>
          </cell>
          <cell r="D3" t="str">
            <v>May 2022 BLS Case Worker</v>
          </cell>
        </row>
        <row r="4">
          <cell r="B4">
            <v>53206.566400000003</v>
          </cell>
          <cell r="D4" t="str">
            <v>May 2022 BLS DC III</v>
          </cell>
        </row>
        <row r="5">
          <cell r="B5">
            <v>64330.864000000001</v>
          </cell>
          <cell r="D5" t="str">
            <v xml:space="preserve">May 2022 BLS Case Manager </v>
          </cell>
        </row>
        <row r="6">
          <cell r="B6">
            <v>41600</v>
          </cell>
          <cell r="D6" t="str">
            <v>May 2022 BLS DC</v>
          </cell>
        </row>
        <row r="7">
          <cell r="B7">
            <v>79415.232000000018</v>
          </cell>
          <cell r="D7" t="str">
            <v>May 2022 BLS Program Management</v>
          </cell>
        </row>
        <row r="9">
          <cell r="C9">
            <v>0.27379999999999999</v>
          </cell>
        </row>
        <row r="10">
          <cell r="C10">
            <v>0.12</v>
          </cell>
        </row>
        <row r="14">
          <cell r="C14">
            <v>2.5758086673353865E-2</v>
          </cell>
        </row>
        <row r="16">
          <cell r="C16">
            <v>36.79</v>
          </cell>
        </row>
      </sheetData>
      <sheetData sheetId="5"/>
      <sheetData sheetId="6">
        <row r="4">
          <cell r="B4">
            <v>58616.063999999998</v>
          </cell>
        </row>
        <row r="5">
          <cell r="B5">
            <v>53206.566400000003</v>
          </cell>
        </row>
        <row r="6">
          <cell r="B6">
            <v>64330.864000000001</v>
          </cell>
        </row>
        <row r="7">
          <cell r="B7">
            <v>41600</v>
          </cell>
        </row>
        <row r="8">
          <cell r="B8">
            <v>79415.232000000018</v>
          </cell>
        </row>
        <row r="9">
          <cell r="B9">
            <v>80606.448000000004</v>
          </cell>
        </row>
        <row r="11">
          <cell r="B11">
            <v>102258.624</v>
          </cell>
        </row>
        <row r="23">
          <cell r="C23">
            <v>0.27379999999999999</v>
          </cell>
        </row>
        <row r="24">
          <cell r="C24">
            <v>0.12</v>
          </cell>
        </row>
        <row r="25">
          <cell r="A25" t="str">
            <v>Misc FC Specific expenses</v>
          </cell>
          <cell r="C25">
            <v>1.4999999999999999E-2</v>
          </cell>
        </row>
        <row r="26">
          <cell r="C26">
            <v>3.0283759999999997</v>
          </cell>
        </row>
        <row r="27">
          <cell r="C27">
            <v>2.5758086673353865E-2</v>
          </cell>
        </row>
      </sheetData>
      <sheetData sheetId="7">
        <row r="20">
          <cell r="C20">
            <v>3.0283759999999997</v>
          </cell>
        </row>
        <row r="21">
          <cell r="A21" t="str">
            <v>Misc FC Specific expenses</v>
          </cell>
          <cell r="C21">
            <v>1.4999999999999999E-2</v>
          </cell>
        </row>
      </sheetData>
      <sheetData sheetId="8">
        <row r="19">
          <cell r="C19" t="str">
            <v>M2022 Benchmark Ch.257</v>
          </cell>
        </row>
        <row r="20">
          <cell r="C20" t="str">
            <v>DCF defined plus appicable CAFs</v>
          </cell>
        </row>
        <row r="21">
          <cell r="C21" t="str">
            <v xml:space="preserve">DCF defined </v>
          </cell>
        </row>
      </sheetData>
      <sheetData sheetId="9"/>
      <sheetData sheetId="10"/>
      <sheetData sheetId="11"/>
      <sheetData sheetId="12"/>
      <sheetData sheetId="13"/>
      <sheetData sheetId="14"/>
      <sheetData sheetId="15">
        <row r="5">
          <cell r="G5">
            <v>6117.6053256391115</v>
          </cell>
          <cell r="M5">
            <v>18263.277202072539</v>
          </cell>
          <cell r="O5">
            <v>771.72646562307273</v>
          </cell>
          <cell r="Q5">
            <v>1736.8875539365154</v>
          </cell>
          <cell r="S5">
            <v>109.73183545004541</v>
          </cell>
          <cell r="U5">
            <v>187.14596949891069</v>
          </cell>
          <cell r="W5">
            <v>331.51662365264912</v>
          </cell>
          <cell r="AA5">
            <v>12.975098296199214</v>
          </cell>
          <cell r="AK5">
            <v>626.39291932675553</v>
          </cell>
        </row>
      </sheetData>
      <sheetData sheetId="16">
        <row r="5">
          <cell r="E5">
            <v>5678.6307336327745</v>
          </cell>
          <cell r="G5">
            <v>2403.8616679604852</v>
          </cell>
          <cell r="M5">
            <v>1197.6540647839033</v>
          </cell>
          <cell r="O5">
            <v>171.25357288689258</v>
          </cell>
          <cell r="Q5">
            <v>216.93064761412867</v>
          </cell>
          <cell r="S5">
            <v>257.89658811115021</v>
          </cell>
          <cell r="U5">
            <v>0.92611234145359367</v>
          </cell>
          <cell r="W5">
            <v>450.16797312430015</v>
          </cell>
          <cell r="AA5">
            <v>519.59686450167976</v>
          </cell>
          <cell r="AC5">
            <v>6762.9213483146068</v>
          </cell>
          <cell r="AE5">
            <v>4006.6249347939483</v>
          </cell>
          <cell r="AK5">
            <v>2501.1501293044776</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0 Benchmark Chart"/>
      <sheetName val="CAF Fall 2021 rpt"/>
      <sheetName val="IFC &amp; Enhanced FC"/>
      <sheetName val="IFC Family Residential"/>
      <sheetName val="Transition to Adulthood"/>
      <sheetName val="Emerg Homes &amp; Exploited Youth"/>
      <sheetName val="Child Home Based Rehab"/>
      <sheetName val="Acute A &amp; B"/>
      <sheetName val="Support Models wip"/>
      <sheetName val="Support Models "/>
      <sheetName val="AMSS products"/>
      <sheetName val="Complete Rate Chart "/>
      <sheetName val="Fiscal Impact"/>
      <sheetName val="FY21 FAS0 UFR"/>
    </sheetNames>
    <sheetDataSet>
      <sheetData sheetId="0"/>
      <sheetData sheetId="1"/>
      <sheetData sheetId="2">
        <row r="19">
          <cell r="I19">
            <v>65.054503271066366</v>
          </cell>
          <cell r="N19">
            <v>115.77359196018502</v>
          </cell>
        </row>
      </sheetData>
      <sheetData sheetId="3">
        <row r="19">
          <cell r="I19">
            <v>200.08495285167874</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S Salary - (50_PCT)"/>
      <sheetName val="M2021 BLS SALARY CHART (53_PCT)"/>
      <sheetName val="M2022 BLS SALARY CHART (53_PCT)"/>
      <sheetName val="Benchmark Salaries"/>
      <sheetName val="CAF Spring 2023"/>
      <sheetName val="CAF FALL 2023"/>
      <sheetName val="Master Data"/>
      <sheetName val="Models"/>
      <sheetName val="Stipend"/>
      <sheetName val="Add-Ons"/>
      <sheetName val="RDP Add On Model"/>
      <sheetName val="Respite care below line calc"/>
      <sheetName val="Respite Care Relief working"/>
      <sheetName val="Rates"/>
      <sheetName val="Fiscal Impact"/>
    </sheetNames>
    <sheetDataSet>
      <sheetData sheetId="0" refreshError="1"/>
      <sheetData sheetId="1" refreshError="1"/>
      <sheetData sheetId="2" refreshError="1"/>
      <sheetData sheetId="3">
        <row r="4">
          <cell r="D4">
            <v>41600</v>
          </cell>
        </row>
        <row r="9">
          <cell r="D9">
            <v>80606.448000000004</v>
          </cell>
        </row>
        <row r="12">
          <cell r="D12">
            <v>65676.416000000012</v>
          </cell>
        </row>
        <row r="13">
          <cell r="D13">
            <v>102258.624</v>
          </cell>
        </row>
        <row r="16">
          <cell r="D16">
            <v>76038</v>
          </cell>
        </row>
      </sheetData>
      <sheetData sheetId="4" refreshError="1"/>
      <sheetData sheetId="5" refreshError="1"/>
      <sheetData sheetId="6">
        <row r="4">
          <cell r="B4" t="str">
            <v>Program Director</v>
          </cell>
          <cell r="C4" t="str">
            <v>Program Management</v>
          </cell>
          <cell r="D4">
            <v>79415.232000000018</v>
          </cell>
          <cell r="E4">
            <v>0.55000000000000004</v>
          </cell>
          <cell r="F4">
            <v>0.8</v>
          </cell>
          <cell r="G4">
            <v>1</v>
          </cell>
        </row>
        <row r="5">
          <cell r="B5" t="str">
            <v>Case worker</v>
          </cell>
          <cell r="C5" t="str">
            <v>Case Worker</v>
          </cell>
          <cell r="D5">
            <v>58616.063999999998</v>
          </cell>
          <cell r="E5">
            <v>1</v>
          </cell>
          <cell r="F5">
            <v>1</v>
          </cell>
          <cell r="G5">
            <v>1</v>
          </cell>
        </row>
        <row r="6">
          <cell r="B6" t="str">
            <v>Placement Specialist</v>
          </cell>
          <cell r="C6" t="str">
            <v>Case Manager</v>
          </cell>
          <cell r="D6">
            <v>64330.864000000001</v>
          </cell>
          <cell r="E6">
            <v>0.5</v>
          </cell>
          <cell r="F6">
            <v>0.5</v>
          </cell>
          <cell r="G6">
            <v>0.75</v>
          </cell>
        </row>
        <row r="7">
          <cell r="B7" t="str">
            <v>Clinician</v>
          </cell>
          <cell r="C7" t="str">
            <v>Clinical w/ Independent licensure</v>
          </cell>
          <cell r="D7">
            <v>80606.448000000004</v>
          </cell>
          <cell r="E7">
            <v>0.2</v>
          </cell>
          <cell r="F7">
            <v>0.25</v>
          </cell>
          <cell r="G7">
            <v>0.35</v>
          </cell>
        </row>
        <row r="8">
          <cell r="B8" t="str">
            <v>Nursing</v>
          </cell>
          <cell r="C8" t="str">
            <v>Registerd Nurse (BA)</v>
          </cell>
          <cell r="D8">
            <v>102258.624</v>
          </cell>
          <cell r="E8">
            <v>0.2</v>
          </cell>
          <cell r="F8">
            <v>0.25</v>
          </cell>
          <cell r="G8">
            <v>0.35</v>
          </cell>
        </row>
        <row r="9">
          <cell r="D9" t="str">
            <v xml:space="preserve"> </v>
          </cell>
        </row>
        <row r="10">
          <cell r="D10" t="str">
            <v xml:space="preserve"> </v>
          </cell>
        </row>
        <row r="11">
          <cell r="D11" t="str">
            <v xml:space="preserve"> </v>
          </cell>
        </row>
        <row r="12">
          <cell r="D12" t="str">
            <v xml:space="preserve"> </v>
          </cell>
        </row>
        <row r="13">
          <cell r="D13" t="str">
            <v xml:space="preserve"> </v>
          </cell>
        </row>
        <row r="14">
          <cell r="D14" t="str">
            <v xml:space="preserve"> </v>
          </cell>
        </row>
        <row r="15">
          <cell r="D15" t="str">
            <v xml:space="preserve"> </v>
          </cell>
        </row>
        <row r="16">
          <cell r="D16" t="str">
            <v xml:space="preserve"> </v>
          </cell>
        </row>
        <row r="17">
          <cell r="D17" t="str">
            <v xml:space="preserve"> </v>
          </cell>
        </row>
        <row r="18">
          <cell r="D18" t="str">
            <v xml:space="preserve"> </v>
          </cell>
        </row>
        <row r="24">
          <cell r="C24">
            <v>0.27379999999999999</v>
          </cell>
        </row>
        <row r="26">
          <cell r="C26">
            <v>0.12</v>
          </cell>
        </row>
        <row r="27">
          <cell r="C27">
            <v>2.5758086673353865E-2</v>
          </cell>
        </row>
        <row r="30">
          <cell r="C30">
            <v>0.15</v>
          </cell>
        </row>
        <row r="34">
          <cell r="B34" t="str">
            <v>Direct Admin Expenses</v>
          </cell>
          <cell r="C34">
            <v>2500</v>
          </cell>
          <cell r="D34">
            <v>2500</v>
          </cell>
          <cell r="E34">
            <v>2500</v>
          </cell>
        </row>
        <row r="35">
          <cell r="B35" t="str">
            <v>Respite / Caregiver Relief</v>
          </cell>
          <cell r="C35">
            <v>36750</v>
          </cell>
          <cell r="D35">
            <v>46200</v>
          </cell>
          <cell r="E35">
            <v>70000</v>
          </cell>
        </row>
        <row r="36">
          <cell r="B36" t="str">
            <v xml:space="preserve">Staff/Caregiver Training </v>
          </cell>
          <cell r="C36">
            <v>418.41999999999996</v>
          </cell>
          <cell r="D36">
            <v>418.41999999999996</v>
          </cell>
          <cell r="E36">
            <v>418.41999999999996</v>
          </cell>
        </row>
        <row r="37">
          <cell r="B37" t="str">
            <v>Staff Mileage / Travel</v>
          </cell>
          <cell r="C37">
            <v>2540.660180413498</v>
          </cell>
          <cell r="D37">
            <v>2540.660180413498</v>
          </cell>
          <cell r="E37">
            <v>2540.660180413498</v>
          </cell>
        </row>
        <row r="48">
          <cell r="B48" t="str">
            <v>PFMLA</v>
          </cell>
          <cell r="C48">
            <v>0</v>
          </cell>
          <cell r="D48">
            <v>0</v>
          </cell>
          <cell r="E48">
            <v>0</v>
          </cell>
        </row>
        <row r="49">
          <cell r="B49" t="str">
            <v>Admin. Allocation</v>
          </cell>
          <cell r="C49">
            <v>0.12</v>
          </cell>
          <cell r="D49">
            <v>0.12</v>
          </cell>
          <cell r="E49">
            <v>0.12</v>
          </cell>
        </row>
        <row r="50">
          <cell r="B50" t="str">
            <v xml:space="preserve">Average Caregiver Stipend </v>
          </cell>
          <cell r="C50">
            <v>46986.820417727235</v>
          </cell>
          <cell r="D50">
            <v>46986.820417727235</v>
          </cell>
          <cell r="E50">
            <v>46986.820417727235</v>
          </cell>
        </row>
        <row r="51">
          <cell r="B51" t="str">
            <v>Caregiver Admin %</v>
          </cell>
          <cell r="C51">
            <v>0.05</v>
          </cell>
          <cell r="D51">
            <v>0.05</v>
          </cell>
          <cell r="E51">
            <v>0.05</v>
          </cell>
        </row>
        <row r="52">
          <cell r="B52" t="str">
            <v>FY25 CAF</v>
          </cell>
          <cell r="C52">
            <v>2.5758086673353865E-2</v>
          </cell>
          <cell r="D52">
            <v>2.5758086673353865E-2</v>
          </cell>
          <cell r="E52">
            <v>2.5758086673353865E-2</v>
          </cell>
        </row>
        <row r="53">
          <cell r="B53" t="str">
            <v>Utilization Rate</v>
          </cell>
          <cell r="C53">
            <v>0.95</v>
          </cell>
          <cell r="D53">
            <v>0.95</v>
          </cell>
          <cell r="E53">
            <v>0.95</v>
          </cell>
        </row>
        <row r="59">
          <cell r="B59" t="str">
            <v>Staff Training</v>
          </cell>
          <cell r="C59">
            <v>5265.6</v>
          </cell>
        </row>
        <row r="60">
          <cell r="B60" t="str">
            <v>Staff Mileage / Travel</v>
          </cell>
          <cell r="C60">
            <v>4252.5391707151321</v>
          </cell>
        </row>
        <row r="61">
          <cell r="B61" t="str">
            <v>Staff Technology</v>
          </cell>
          <cell r="C61">
            <v>1234</v>
          </cell>
        </row>
        <row r="62">
          <cell r="B62" t="str">
            <v>Program Technology</v>
          </cell>
          <cell r="C62">
            <v>200</v>
          </cell>
        </row>
        <row r="63">
          <cell r="B63" t="str">
            <v>Call center cost</v>
          </cell>
          <cell r="C63">
            <v>309.60000000000002</v>
          </cell>
        </row>
        <row r="64">
          <cell r="B64" t="str">
            <v>Emergency back up support</v>
          </cell>
          <cell r="C64">
            <v>17</v>
          </cell>
        </row>
      </sheetData>
      <sheetData sheetId="7">
        <row r="62">
          <cell r="F62">
            <v>67.528829137478851</v>
          </cell>
          <cell r="L62">
            <v>103.60050149097471</v>
          </cell>
          <cell r="R62">
            <v>177.16117398944809</v>
          </cell>
        </row>
      </sheetData>
      <sheetData sheetId="8">
        <row r="8">
          <cell r="G8">
            <v>79.59</v>
          </cell>
        </row>
        <row r="9">
          <cell r="G9">
            <v>89.55</v>
          </cell>
        </row>
        <row r="10">
          <cell r="G10">
            <v>99.49</v>
          </cell>
        </row>
        <row r="11">
          <cell r="G11">
            <v>109.43</v>
          </cell>
        </row>
        <row r="12">
          <cell r="G12">
            <v>119.39</v>
          </cell>
        </row>
        <row r="13">
          <cell r="G13">
            <v>129.35</v>
          </cell>
        </row>
        <row r="14">
          <cell r="G14">
            <v>139.28</v>
          </cell>
        </row>
        <row r="15">
          <cell r="G15">
            <v>149.22999999999999</v>
          </cell>
        </row>
        <row r="16">
          <cell r="G16">
            <v>159.19</v>
          </cell>
        </row>
        <row r="17">
          <cell r="G17">
            <v>169.12</v>
          </cell>
        </row>
        <row r="18">
          <cell r="G18">
            <v>179.08</v>
          </cell>
        </row>
        <row r="19">
          <cell r="G19">
            <v>189.03</v>
          </cell>
        </row>
        <row r="20">
          <cell r="G20">
            <v>198.99</v>
          </cell>
        </row>
        <row r="21">
          <cell r="G21">
            <v>208.92</v>
          </cell>
        </row>
        <row r="22">
          <cell r="G22">
            <v>218.88</v>
          </cell>
        </row>
        <row r="23">
          <cell r="G23">
            <v>228.83</v>
          </cell>
        </row>
        <row r="24">
          <cell r="G24">
            <v>238.78</v>
          </cell>
        </row>
        <row r="25">
          <cell r="G25">
            <v>247.73</v>
          </cell>
        </row>
        <row r="26">
          <cell r="G26">
            <v>258.68</v>
          </cell>
        </row>
        <row r="27">
          <cell r="G27">
            <v>269.61</v>
          </cell>
        </row>
        <row r="28">
          <cell r="G28">
            <v>278.58</v>
          </cell>
        </row>
      </sheetData>
      <sheetData sheetId="9">
        <row r="13">
          <cell r="C13">
            <v>27.85</v>
          </cell>
          <cell r="D13">
            <v>48.76</v>
          </cell>
          <cell r="E13">
            <v>75.92</v>
          </cell>
          <cell r="F13">
            <v>59.84</v>
          </cell>
          <cell r="G13">
            <v>56.45</v>
          </cell>
        </row>
      </sheetData>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Tech Stuff"/>
    </sheetNames>
    <sheetDataSet>
      <sheetData sheetId="0"/>
      <sheetData sheetId="1"/>
      <sheetData sheetId="2"/>
      <sheetData sheetId="3">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49B8-E97C-4FC7-A3C7-F331FA38C760}">
  <sheetPr>
    <pageSetUpPr fitToPage="1"/>
  </sheetPr>
  <dimension ref="B1:L60"/>
  <sheetViews>
    <sheetView showGridLines="0" zoomScale="40" zoomScaleNormal="40" workbookViewId="0">
      <selection activeCell="D65" sqref="D65"/>
    </sheetView>
  </sheetViews>
  <sheetFormatPr defaultRowHeight="26.25" x14ac:dyDescent="0.4"/>
  <cols>
    <col min="1" max="1" width="5.5703125" style="221" customWidth="1"/>
    <col min="2" max="2" width="78.7109375" style="221" customWidth="1"/>
    <col min="3" max="3" width="25.85546875" style="221" customWidth="1"/>
    <col min="4" max="4" width="71.5703125" style="221" customWidth="1"/>
    <col min="5" max="5" width="69.140625" style="223" customWidth="1"/>
    <col min="6" max="6" width="46.140625" style="223" customWidth="1"/>
    <col min="7" max="7" width="9.140625" style="221"/>
    <col min="8" max="8" width="20.28515625" style="221" customWidth="1"/>
    <col min="9" max="9" width="16.28515625" style="221" customWidth="1"/>
    <col min="10" max="10" width="27.5703125" style="221" bestFit="1" customWidth="1"/>
    <col min="11" max="11" width="11.28515625" style="221" bestFit="1" customWidth="1"/>
    <col min="12" max="230" width="9.140625" style="221"/>
    <col min="231" max="231" width="5.5703125" style="221" customWidth="1"/>
    <col min="232" max="232" width="58" style="221" customWidth="1"/>
    <col min="233" max="233" width="24.140625" style="221" customWidth="1"/>
    <col min="234" max="235" width="0" style="221" hidden="1" customWidth="1"/>
    <col min="236" max="236" width="61.42578125" style="221" customWidth="1"/>
    <col min="237" max="237" width="62.140625" style="221" customWidth="1"/>
    <col min="238" max="241" width="0" style="221" hidden="1" customWidth="1"/>
    <col min="242" max="486" width="9.140625" style="221"/>
    <col min="487" max="487" width="5.5703125" style="221" customWidth="1"/>
    <col min="488" max="488" width="58" style="221" customWidth="1"/>
    <col min="489" max="489" width="24.140625" style="221" customWidth="1"/>
    <col min="490" max="491" width="0" style="221" hidden="1" customWidth="1"/>
    <col min="492" max="492" width="61.42578125" style="221" customWidth="1"/>
    <col min="493" max="493" width="62.140625" style="221" customWidth="1"/>
    <col min="494" max="497" width="0" style="221" hidden="1" customWidth="1"/>
    <col min="498" max="742" width="9.140625" style="221"/>
    <col min="743" max="743" width="5.5703125" style="221" customWidth="1"/>
    <col min="744" max="744" width="58" style="221" customWidth="1"/>
    <col min="745" max="745" width="24.140625" style="221" customWidth="1"/>
    <col min="746" max="747" width="0" style="221" hidden="1" customWidth="1"/>
    <col min="748" max="748" width="61.42578125" style="221" customWidth="1"/>
    <col min="749" max="749" width="62.140625" style="221" customWidth="1"/>
    <col min="750" max="753" width="0" style="221" hidden="1" customWidth="1"/>
    <col min="754" max="998" width="9.140625" style="221"/>
    <col min="999" max="999" width="5.5703125" style="221" customWidth="1"/>
    <col min="1000" max="1000" width="58" style="221" customWidth="1"/>
    <col min="1001" max="1001" width="24.140625" style="221" customWidth="1"/>
    <col min="1002" max="1003" width="0" style="221" hidden="1" customWidth="1"/>
    <col min="1004" max="1004" width="61.42578125" style="221" customWidth="1"/>
    <col min="1005" max="1005" width="62.140625" style="221" customWidth="1"/>
    <col min="1006" max="1009" width="0" style="221" hidden="1" customWidth="1"/>
    <col min="1010" max="1254" width="9.140625" style="221"/>
    <col min="1255" max="1255" width="5.5703125" style="221" customWidth="1"/>
    <col min="1256" max="1256" width="58" style="221" customWidth="1"/>
    <col min="1257" max="1257" width="24.140625" style="221" customWidth="1"/>
    <col min="1258" max="1259" width="0" style="221" hidden="1" customWidth="1"/>
    <col min="1260" max="1260" width="61.42578125" style="221" customWidth="1"/>
    <col min="1261" max="1261" width="62.140625" style="221" customWidth="1"/>
    <col min="1262" max="1265" width="0" style="221" hidden="1" customWidth="1"/>
    <col min="1266" max="1510" width="9.140625" style="221"/>
    <col min="1511" max="1511" width="5.5703125" style="221" customWidth="1"/>
    <col min="1512" max="1512" width="58" style="221" customWidth="1"/>
    <col min="1513" max="1513" width="24.140625" style="221" customWidth="1"/>
    <col min="1514" max="1515" width="0" style="221" hidden="1" customWidth="1"/>
    <col min="1516" max="1516" width="61.42578125" style="221" customWidth="1"/>
    <col min="1517" max="1517" width="62.140625" style="221" customWidth="1"/>
    <col min="1518" max="1521" width="0" style="221" hidden="1" customWidth="1"/>
    <col min="1522" max="1766" width="9.140625" style="221"/>
    <col min="1767" max="1767" width="5.5703125" style="221" customWidth="1"/>
    <col min="1768" max="1768" width="58" style="221" customWidth="1"/>
    <col min="1769" max="1769" width="24.140625" style="221" customWidth="1"/>
    <col min="1770" max="1771" width="0" style="221" hidden="1" customWidth="1"/>
    <col min="1772" max="1772" width="61.42578125" style="221" customWidth="1"/>
    <col min="1773" max="1773" width="62.140625" style="221" customWidth="1"/>
    <col min="1774" max="1777" width="0" style="221" hidden="1" customWidth="1"/>
    <col min="1778" max="2022" width="9.140625" style="221"/>
    <col min="2023" max="2023" width="5.5703125" style="221" customWidth="1"/>
    <col min="2024" max="2024" width="58" style="221" customWidth="1"/>
    <col min="2025" max="2025" width="24.140625" style="221" customWidth="1"/>
    <col min="2026" max="2027" width="0" style="221" hidden="1" customWidth="1"/>
    <col min="2028" max="2028" width="61.42578125" style="221" customWidth="1"/>
    <col min="2029" max="2029" width="62.140625" style="221" customWidth="1"/>
    <col min="2030" max="2033" width="0" style="221" hidden="1" customWidth="1"/>
    <col min="2034" max="2278" width="9.140625" style="221"/>
    <col min="2279" max="2279" width="5.5703125" style="221" customWidth="1"/>
    <col min="2280" max="2280" width="58" style="221" customWidth="1"/>
    <col min="2281" max="2281" width="24.140625" style="221" customWidth="1"/>
    <col min="2282" max="2283" width="0" style="221" hidden="1" customWidth="1"/>
    <col min="2284" max="2284" width="61.42578125" style="221" customWidth="1"/>
    <col min="2285" max="2285" width="62.140625" style="221" customWidth="1"/>
    <col min="2286" max="2289" width="0" style="221" hidden="1" customWidth="1"/>
    <col min="2290" max="2534" width="9.140625" style="221"/>
    <col min="2535" max="2535" width="5.5703125" style="221" customWidth="1"/>
    <col min="2536" max="2536" width="58" style="221" customWidth="1"/>
    <col min="2537" max="2537" width="24.140625" style="221" customWidth="1"/>
    <col min="2538" max="2539" width="0" style="221" hidden="1" customWidth="1"/>
    <col min="2540" max="2540" width="61.42578125" style="221" customWidth="1"/>
    <col min="2541" max="2541" width="62.140625" style="221" customWidth="1"/>
    <col min="2542" max="2545" width="0" style="221" hidden="1" customWidth="1"/>
    <col min="2546" max="2790" width="9.140625" style="221"/>
    <col min="2791" max="2791" width="5.5703125" style="221" customWidth="1"/>
    <col min="2792" max="2792" width="58" style="221" customWidth="1"/>
    <col min="2793" max="2793" width="24.140625" style="221" customWidth="1"/>
    <col min="2794" max="2795" width="0" style="221" hidden="1" customWidth="1"/>
    <col min="2796" max="2796" width="61.42578125" style="221" customWidth="1"/>
    <col min="2797" max="2797" width="62.140625" style="221" customWidth="1"/>
    <col min="2798" max="2801" width="0" style="221" hidden="1" customWidth="1"/>
    <col min="2802" max="3046" width="9.140625" style="221"/>
    <col min="3047" max="3047" width="5.5703125" style="221" customWidth="1"/>
    <col min="3048" max="3048" width="58" style="221" customWidth="1"/>
    <col min="3049" max="3049" width="24.140625" style="221" customWidth="1"/>
    <col min="3050" max="3051" width="0" style="221" hidden="1" customWidth="1"/>
    <col min="3052" max="3052" width="61.42578125" style="221" customWidth="1"/>
    <col min="3053" max="3053" width="62.140625" style="221" customWidth="1"/>
    <col min="3054" max="3057" width="0" style="221" hidden="1" customWidth="1"/>
    <col min="3058" max="3302" width="9.140625" style="221"/>
    <col min="3303" max="3303" width="5.5703125" style="221" customWidth="1"/>
    <col min="3304" max="3304" width="58" style="221" customWidth="1"/>
    <col min="3305" max="3305" width="24.140625" style="221" customWidth="1"/>
    <col min="3306" max="3307" width="0" style="221" hidden="1" customWidth="1"/>
    <col min="3308" max="3308" width="61.42578125" style="221" customWidth="1"/>
    <col min="3309" max="3309" width="62.140625" style="221" customWidth="1"/>
    <col min="3310" max="3313" width="0" style="221" hidden="1" customWidth="1"/>
    <col min="3314" max="3558" width="9.140625" style="221"/>
    <col min="3559" max="3559" width="5.5703125" style="221" customWidth="1"/>
    <col min="3560" max="3560" width="58" style="221" customWidth="1"/>
    <col min="3561" max="3561" width="24.140625" style="221" customWidth="1"/>
    <col min="3562" max="3563" width="0" style="221" hidden="1" customWidth="1"/>
    <col min="3564" max="3564" width="61.42578125" style="221" customWidth="1"/>
    <col min="3565" max="3565" width="62.140625" style="221" customWidth="1"/>
    <col min="3566" max="3569" width="0" style="221" hidden="1" customWidth="1"/>
    <col min="3570" max="3814" width="9.140625" style="221"/>
    <col min="3815" max="3815" width="5.5703125" style="221" customWidth="1"/>
    <col min="3816" max="3816" width="58" style="221" customWidth="1"/>
    <col min="3817" max="3817" width="24.140625" style="221" customWidth="1"/>
    <col min="3818" max="3819" width="0" style="221" hidden="1" customWidth="1"/>
    <col min="3820" max="3820" width="61.42578125" style="221" customWidth="1"/>
    <col min="3821" max="3821" width="62.140625" style="221" customWidth="1"/>
    <col min="3822" max="3825" width="0" style="221" hidden="1" customWidth="1"/>
    <col min="3826" max="4070" width="9.140625" style="221"/>
    <col min="4071" max="4071" width="5.5703125" style="221" customWidth="1"/>
    <col min="4072" max="4072" width="58" style="221" customWidth="1"/>
    <col min="4073" max="4073" width="24.140625" style="221" customWidth="1"/>
    <col min="4074" max="4075" width="0" style="221" hidden="1" customWidth="1"/>
    <col min="4076" max="4076" width="61.42578125" style="221" customWidth="1"/>
    <col min="4077" max="4077" width="62.140625" style="221" customWidth="1"/>
    <col min="4078" max="4081" width="0" style="221" hidden="1" customWidth="1"/>
    <col min="4082" max="4326" width="9.140625" style="221"/>
    <col min="4327" max="4327" width="5.5703125" style="221" customWidth="1"/>
    <col min="4328" max="4328" width="58" style="221" customWidth="1"/>
    <col min="4329" max="4329" width="24.140625" style="221" customWidth="1"/>
    <col min="4330" max="4331" width="0" style="221" hidden="1" customWidth="1"/>
    <col min="4332" max="4332" width="61.42578125" style="221" customWidth="1"/>
    <col min="4333" max="4333" width="62.140625" style="221" customWidth="1"/>
    <col min="4334" max="4337" width="0" style="221" hidden="1" customWidth="1"/>
    <col min="4338" max="4582" width="9.140625" style="221"/>
    <col min="4583" max="4583" width="5.5703125" style="221" customWidth="1"/>
    <col min="4584" max="4584" width="58" style="221" customWidth="1"/>
    <col min="4585" max="4585" width="24.140625" style="221" customWidth="1"/>
    <col min="4586" max="4587" width="0" style="221" hidden="1" customWidth="1"/>
    <col min="4588" max="4588" width="61.42578125" style="221" customWidth="1"/>
    <col min="4589" max="4589" width="62.140625" style="221" customWidth="1"/>
    <col min="4590" max="4593" width="0" style="221" hidden="1" customWidth="1"/>
    <col min="4594" max="4838" width="9.140625" style="221"/>
    <col min="4839" max="4839" width="5.5703125" style="221" customWidth="1"/>
    <col min="4840" max="4840" width="58" style="221" customWidth="1"/>
    <col min="4841" max="4841" width="24.140625" style="221" customWidth="1"/>
    <col min="4842" max="4843" width="0" style="221" hidden="1" customWidth="1"/>
    <col min="4844" max="4844" width="61.42578125" style="221" customWidth="1"/>
    <col min="4845" max="4845" width="62.140625" style="221" customWidth="1"/>
    <col min="4846" max="4849" width="0" style="221" hidden="1" customWidth="1"/>
    <col min="4850" max="5094" width="9.140625" style="221"/>
    <col min="5095" max="5095" width="5.5703125" style="221" customWidth="1"/>
    <col min="5096" max="5096" width="58" style="221" customWidth="1"/>
    <col min="5097" max="5097" width="24.140625" style="221" customWidth="1"/>
    <col min="5098" max="5099" width="0" style="221" hidden="1" customWidth="1"/>
    <col min="5100" max="5100" width="61.42578125" style="221" customWidth="1"/>
    <col min="5101" max="5101" width="62.140625" style="221" customWidth="1"/>
    <col min="5102" max="5105" width="0" style="221" hidden="1" customWidth="1"/>
    <col min="5106" max="5350" width="9.140625" style="221"/>
    <col min="5351" max="5351" width="5.5703125" style="221" customWidth="1"/>
    <col min="5352" max="5352" width="58" style="221" customWidth="1"/>
    <col min="5353" max="5353" width="24.140625" style="221" customWidth="1"/>
    <col min="5354" max="5355" width="0" style="221" hidden="1" customWidth="1"/>
    <col min="5356" max="5356" width="61.42578125" style="221" customWidth="1"/>
    <col min="5357" max="5357" width="62.140625" style="221" customWidth="1"/>
    <col min="5358" max="5361" width="0" style="221" hidden="1" customWidth="1"/>
    <col min="5362" max="5606" width="9.140625" style="221"/>
    <col min="5607" max="5607" width="5.5703125" style="221" customWidth="1"/>
    <col min="5608" max="5608" width="58" style="221" customWidth="1"/>
    <col min="5609" max="5609" width="24.140625" style="221" customWidth="1"/>
    <col min="5610" max="5611" width="0" style="221" hidden="1" customWidth="1"/>
    <col min="5612" max="5612" width="61.42578125" style="221" customWidth="1"/>
    <col min="5613" max="5613" width="62.140625" style="221" customWidth="1"/>
    <col min="5614" max="5617" width="0" style="221" hidden="1" customWidth="1"/>
    <col min="5618" max="5862" width="9.140625" style="221"/>
    <col min="5863" max="5863" width="5.5703125" style="221" customWidth="1"/>
    <col min="5864" max="5864" width="58" style="221" customWidth="1"/>
    <col min="5865" max="5865" width="24.140625" style="221" customWidth="1"/>
    <col min="5866" max="5867" width="0" style="221" hidden="1" customWidth="1"/>
    <col min="5868" max="5868" width="61.42578125" style="221" customWidth="1"/>
    <col min="5869" max="5869" width="62.140625" style="221" customWidth="1"/>
    <col min="5870" max="5873" width="0" style="221" hidden="1" customWidth="1"/>
    <col min="5874" max="6118" width="9.140625" style="221"/>
    <col min="6119" max="6119" width="5.5703125" style="221" customWidth="1"/>
    <col min="6120" max="6120" width="58" style="221" customWidth="1"/>
    <col min="6121" max="6121" width="24.140625" style="221" customWidth="1"/>
    <col min="6122" max="6123" width="0" style="221" hidden="1" customWidth="1"/>
    <col min="6124" max="6124" width="61.42578125" style="221" customWidth="1"/>
    <col min="6125" max="6125" width="62.140625" style="221" customWidth="1"/>
    <col min="6126" max="6129" width="0" style="221" hidden="1" customWidth="1"/>
    <col min="6130" max="6374" width="9.140625" style="221"/>
    <col min="6375" max="6375" width="5.5703125" style="221" customWidth="1"/>
    <col min="6376" max="6376" width="58" style="221" customWidth="1"/>
    <col min="6377" max="6377" width="24.140625" style="221" customWidth="1"/>
    <col min="6378" max="6379" width="0" style="221" hidden="1" customWidth="1"/>
    <col min="6380" max="6380" width="61.42578125" style="221" customWidth="1"/>
    <col min="6381" max="6381" width="62.140625" style="221" customWidth="1"/>
    <col min="6382" max="6385" width="0" style="221" hidden="1" customWidth="1"/>
    <col min="6386" max="6630" width="9.140625" style="221"/>
    <col min="6631" max="6631" width="5.5703125" style="221" customWidth="1"/>
    <col min="6632" max="6632" width="58" style="221" customWidth="1"/>
    <col min="6633" max="6633" width="24.140625" style="221" customWidth="1"/>
    <col min="6634" max="6635" width="0" style="221" hidden="1" customWidth="1"/>
    <col min="6636" max="6636" width="61.42578125" style="221" customWidth="1"/>
    <col min="6637" max="6637" width="62.140625" style="221" customWidth="1"/>
    <col min="6638" max="6641" width="0" style="221" hidden="1" customWidth="1"/>
    <col min="6642" max="6886" width="9.140625" style="221"/>
    <col min="6887" max="6887" width="5.5703125" style="221" customWidth="1"/>
    <col min="6888" max="6888" width="58" style="221" customWidth="1"/>
    <col min="6889" max="6889" width="24.140625" style="221" customWidth="1"/>
    <col min="6890" max="6891" width="0" style="221" hidden="1" customWidth="1"/>
    <col min="6892" max="6892" width="61.42578125" style="221" customWidth="1"/>
    <col min="6893" max="6893" width="62.140625" style="221" customWidth="1"/>
    <col min="6894" max="6897" width="0" style="221" hidden="1" customWidth="1"/>
    <col min="6898" max="7142" width="9.140625" style="221"/>
    <col min="7143" max="7143" width="5.5703125" style="221" customWidth="1"/>
    <col min="7144" max="7144" width="58" style="221" customWidth="1"/>
    <col min="7145" max="7145" width="24.140625" style="221" customWidth="1"/>
    <col min="7146" max="7147" width="0" style="221" hidden="1" customWidth="1"/>
    <col min="7148" max="7148" width="61.42578125" style="221" customWidth="1"/>
    <col min="7149" max="7149" width="62.140625" style="221" customWidth="1"/>
    <col min="7150" max="7153" width="0" style="221" hidden="1" customWidth="1"/>
    <col min="7154" max="7398" width="9.140625" style="221"/>
    <col min="7399" max="7399" width="5.5703125" style="221" customWidth="1"/>
    <col min="7400" max="7400" width="58" style="221" customWidth="1"/>
    <col min="7401" max="7401" width="24.140625" style="221" customWidth="1"/>
    <col min="7402" max="7403" width="0" style="221" hidden="1" customWidth="1"/>
    <col min="7404" max="7404" width="61.42578125" style="221" customWidth="1"/>
    <col min="7405" max="7405" width="62.140625" style="221" customWidth="1"/>
    <col min="7406" max="7409" width="0" style="221" hidden="1" customWidth="1"/>
    <col min="7410" max="7654" width="9.140625" style="221"/>
    <col min="7655" max="7655" width="5.5703125" style="221" customWidth="1"/>
    <col min="7656" max="7656" width="58" style="221" customWidth="1"/>
    <col min="7657" max="7657" width="24.140625" style="221" customWidth="1"/>
    <col min="7658" max="7659" width="0" style="221" hidden="1" customWidth="1"/>
    <col min="7660" max="7660" width="61.42578125" style="221" customWidth="1"/>
    <col min="7661" max="7661" width="62.140625" style="221" customWidth="1"/>
    <col min="7662" max="7665" width="0" style="221" hidden="1" customWidth="1"/>
    <col min="7666" max="7910" width="9.140625" style="221"/>
    <col min="7911" max="7911" width="5.5703125" style="221" customWidth="1"/>
    <col min="7912" max="7912" width="58" style="221" customWidth="1"/>
    <col min="7913" max="7913" width="24.140625" style="221" customWidth="1"/>
    <col min="7914" max="7915" width="0" style="221" hidden="1" customWidth="1"/>
    <col min="7916" max="7916" width="61.42578125" style="221" customWidth="1"/>
    <col min="7917" max="7917" width="62.140625" style="221" customWidth="1"/>
    <col min="7918" max="7921" width="0" style="221" hidden="1" customWidth="1"/>
    <col min="7922" max="8166" width="9.140625" style="221"/>
    <col min="8167" max="8167" width="5.5703125" style="221" customWidth="1"/>
    <col min="8168" max="8168" width="58" style="221" customWidth="1"/>
    <col min="8169" max="8169" width="24.140625" style="221" customWidth="1"/>
    <col min="8170" max="8171" width="0" style="221" hidden="1" customWidth="1"/>
    <col min="8172" max="8172" width="61.42578125" style="221" customWidth="1"/>
    <col min="8173" max="8173" width="62.140625" style="221" customWidth="1"/>
    <col min="8174" max="8177" width="0" style="221" hidden="1" customWidth="1"/>
    <col min="8178" max="8422" width="9.140625" style="221"/>
    <col min="8423" max="8423" width="5.5703125" style="221" customWidth="1"/>
    <col min="8424" max="8424" width="58" style="221" customWidth="1"/>
    <col min="8425" max="8425" width="24.140625" style="221" customWidth="1"/>
    <col min="8426" max="8427" width="0" style="221" hidden="1" customWidth="1"/>
    <col min="8428" max="8428" width="61.42578125" style="221" customWidth="1"/>
    <col min="8429" max="8429" width="62.140625" style="221" customWidth="1"/>
    <col min="8430" max="8433" width="0" style="221" hidden="1" customWidth="1"/>
    <col min="8434" max="8678" width="9.140625" style="221"/>
    <col min="8679" max="8679" width="5.5703125" style="221" customWidth="1"/>
    <col min="8680" max="8680" width="58" style="221" customWidth="1"/>
    <col min="8681" max="8681" width="24.140625" style="221" customWidth="1"/>
    <col min="8682" max="8683" width="0" style="221" hidden="1" customWidth="1"/>
    <col min="8684" max="8684" width="61.42578125" style="221" customWidth="1"/>
    <col min="8685" max="8685" width="62.140625" style="221" customWidth="1"/>
    <col min="8686" max="8689" width="0" style="221" hidden="1" customWidth="1"/>
    <col min="8690" max="8934" width="9.140625" style="221"/>
    <col min="8935" max="8935" width="5.5703125" style="221" customWidth="1"/>
    <col min="8936" max="8936" width="58" style="221" customWidth="1"/>
    <col min="8937" max="8937" width="24.140625" style="221" customWidth="1"/>
    <col min="8938" max="8939" width="0" style="221" hidden="1" customWidth="1"/>
    <col min="8940" max="8940" width="61.42578125" style="221" customWidth="1"/>
    <col min="8941" max="8941" width="62.140625" style="221" customWidth="1"/>
    <col min="8942" max="8945" width="0" style="221" hidden="1" customWidth="1"/>
    <col min="8946" max="9190" width="9.140625" style="221"/>
    <col min="9191" max="9191" width="5.5703125" style="221" customWidth="1"/>
    <col min="9192" max="9192" width="58" style="221" customWidth="1"/>
    <col min="9193" max="9193" width="24.140625" style="221" customWidth="1"/>
    <col min="9194" max="9195" width="0" style="221" hidden="1" customWidth="1"/>
    <col min="9196" max="9196" width="61.42578125" style="221" customWidth="1"/>
    <col min="9197" max="9197" width="62.140625" style="221" customWidth="1"/>
    <col min="9198" max="9201" width="0" style="221" hidden="1" customWidth="1"/>
    <col min="9202" max="9446" width="9.140625" style="221"/>
    <col min="9447" max="9447" width="5.5703125" style="221" customWidth="1"/>
    <col min="9448" max="9448" width="58" style="221" customWidth="1"/>
    <col min="9449" max="9449" width="24.140625" style="221" customWidth="1"/>
    <col min="9450" max="9451" width="0" style="221" hidden="1" customWidth="1"/>
    <col min="9452" max="9452" width="61.42578125" style="221" customWidth="1"/>
    <col min="9453" max="9453" width="62.140625" style="221" customWidth="1"/>
    <col min="9454" max="9457" width="0" style="221" hidden="1" customWidth="1"/>
    <col min="9458" max="9702" width="9.140625" style="221"/>
    <col min="9703" max="9703" width="5.5703125" style="221" customWidth="1"/>
    <col min="9704" max="9704" width="58" style="221" customWidth="1"/>
    <col min="9705" max="9705" width="24.140625" style="221" customWidth="1"/>
    <col min="9706" max="9707" width="0" style="221" hidden="1" customWidth="1"/>
    <col min="9708" max="9708" width="61.42578125" style="221" customWidth="1"/>
    <col min="9709" max="9709" width="62.140625" style="221" customWidth="1"/>
    <col min="9710" max="9713" width="0" style="221" hidden="1" customWidth="1"/>
    <col min="9714" max="9958" width="9.140625" style="221"/>
    <col min="9959" max="9959" width="5.5703125" style="221" customWidth="1"/>
    <col min="9960" max="9960" width="58" style="221" customWidth="1"/>
    <col min="9961" max="9961" width="24.140625" style="221" customWidth="1"/>
    <col min="9962" max="9963" width="0" style="221" hidden="1" customWidth="1"/>
    <col min="9964" max="9964" width="61.42578125" style="221" customWidth="1"/>
    <col min="9965" max="9965" width="62.140625" style="221" customWidth="1"/>
    <col min="9966" max="9969" width="0" style="221" hidden="1" customWidth="1"/>
    <col min="9970" max="10214" width="9.140625" style="221"/>
    <col min="10215" max="10215" width="5.5703125" style="221" customWidth="1"/>
    <col min="10216" max="10216" width="58" style="221" customWidth="1"/>
    <col min="10217" max="10217" width="24.140625" style="221" customWidth="1"/>
    <col min="10218" max="10219" width="0" style="221" hidden="1" customWidth="1"/>
    <col min="10220" max="10220" width="61.42578125" style="221" customWidth="1"/>
    <col min="10221" max="10221" width="62.140625" style="221" customWidth="1"/>
    <col min="10222" max="10225" width="0" style="221" hidden="1" customWidth="1"/>
    <col min="10226" max="10470" width="9.140625" style="221"/>
    <col min="10471" max="10471" width="5.5703125" style="221" customWidth="1"/>
    <col min="10472" max="10472" width="58" style="221" customWidth="1"/>
    <col min="10473" max="10473" width="24.140625" style="221" customWidth="1"/>
    <col min="10474" max="10475" width="0" style="221" hidden="1" customWidth="1"/>
    <col min="10476" max="10476" width="61.42578125" style="221" customWidth="1"/>
    <col min="10477" max="10477" width="62.140625" style="221" customWidth="1"/>
    <col min="10478" max="10481" width="0" style="221" hidden="1" customWidth="1"/>
    <col min="10482" max="10726" width="9.140625" style="221"/>
    <col min="10727" max="10727" width="5.5703125" style="221" customWidth="1"/>
    <col min="10728" max="10728" width="58" style="221" customWidth="1"/>
    <col min="10729" max="10729" width="24.140625" style="221" customWidth="1"/>
    <col min="10730" max="10731" width="0" style="221" hidden="1" customWidth="1"/>
    <col min="10732" max="10732" width="61.42578125" style="221" customWidth="1"/>
    <col min="10733" max="10733" width="62.140625" style="221" customWidth="1"/>
    <col min="10734" max="10737" width="0" style="221" hidden="1" customWidth="1"/>
    <col min="10738" max="10982" width="9.140625" style="221"/>
    <col min="10983" max="10983" width="5.5703125" style="221" customWidth="1"/>
    <col min="10984" max="10984" width="58" style="221" customWidth="1"/>
    <col min="10985" max="10985" width="24.140625" style="221" customWidth="1"/>
    <col min="10986" max="10987" width="0" style="221" hidden="1" customWidth="1"/>
    <col min="10988" max="10988" width="61.42578125" style="221" customWidth="1"/>
    <col min="10989" max="10989" width="62.140625" style="221" customWidth="1"/>
    <col min="10990" max="10993" width="0" style="221" hidden="1" customWidth="1"/>
    <col min="10994" max="11238" width="9.140625" style="221"/>
    <col min="11239" max="11239" width="5.5703125" style="221" customWidth="1"/>
    <col min="11240" max="11240" width="58" style="221" customWidth="1"/>
    <col min="11241" max="11241" width="24.140625" style="221" customWidth="1"/>
    <col min="11242" max="11243" width="0" style="221" hidden="1" customWidth="1"/>
    <col min="11244" max="11244" width="61.42578125" style="221" customWidth="1"/>
    <col min="11245" max="11245" width="62.140625" style="221" customWidth="1"/>
    <col min="11246" max="11249" width="0" style="221" hidden="1" customWidth="1"/>
    <col min="11250" max="11494" width="9.140625" style="221"/>
    <col min="11495" max="11495" width="5.5703125" style="221" customWidth="1"/>
    <col min="11496" max="11496" width="58" style="221" customWidth="1"/>
    <col min="11497" max="11497" width="24.140625" style="221" customWidth="1"/>
    <col min="11498" max="11499" width="0" style="221" hidden="1" customWidth="1"/>
    <col min="11500" max="11500" width="61.42578125" style="221" customWidth="1"/>
    <col min="11501" max="11501" width="62.140625" style="221" customWidth="1"/>
    <col min="11502" max="11505" width="0" style="221" hidden="1" customWidth="1"/>
    <col min="11506" max="11750" width="9.140625" style="221"/>
    <col min="11751" max="11751" width="5.5703125" style="221" customWidth="1"/>
    <col min="11752" max="11752" width="58" style="221" customWidth="1"/>
    <col min="11753" max="11753" width="24.140625" style="221" customWidth="1"/>
    <col min="11754" max="11755" width="0" style="221" hidden="1" customWidth="1"/>
    <col min="11756" max="11756" width="61.42578125" style="221" customWidth="1"/>
    <col min="11757" max="11757" width="62.140625" style="221" customWidth="1"/>
    <col min="11758" max="11761" width="0" style="221" hidden="1" customWidth="1"/>
    <col min="11762" max="12006" width="9.140625" style="221"/>
    <col min="12007" max="12007" width="5.5703125" style="221" customWidth="1"/>
    <col min="12008" max="12008" width="58" style="221" customWidth="1"/>
    <col min="12009" max="12009" width="24.140625" style="221" customWidth="1"/>
    <col min="12010" max="12011" width="0" style="221" hidden="1" customWidth="1"/>
    <col min="12012" max="12012" width="61.42578125" style="221" customWidth="1"/>
    <col min="12013" max="12013" width="62.140625" style="221" customWidth="1"/>
    <col min="12014" max="12017" width="0" style="221" hidden="1" customWidth="1"/>
    <col min="12018" max="12262" width="9.140625" style="221"/>
    <col min="12263" max="12263" width="5.5703125" style="221" customWidth="1"/>
    <col min="12264" max="12264" width="58" style="221" customWidth="1"/>
    <col min="12265" max="12265" width="24.140625" style="221" customWidth="1"/>
    <col min="12266" max="12267" width="0" style="221" hidden="1" customWidth="1"/>
    <col min="12268" max="12268" width="61.42578125" style="221" customWidth="1"/>
    <col min="12269" max="12269" width="62.140625" style="221" customWidth="1"/>
    <col min="12270" max="12273" width="0" style="221" hidden="1" customWidth="1"/>
    <col min="12274" max="12518" width="9.140625" style="221"/>
    <col min="12519" max="12519" width="5.5703125" style="221" customWidth="1"/>
    <col min="12520" max="12520" width="58" style="221" customWidth="1"/>
    <col min="12521" max="12521" width="24.140625" style="221" customWidth="1"/>
    <col min="12522" max="12523" width="0" style="221" hidden="1" customWidth="1"/>
    <col min="12524" max="12524" width="61.42578125" style="221" customWidth="1"/>
    <col min="12525" max="12525" width="62.140625" style="221" customWidth="1"/>
    <col min="12526" max="12529" width="0" style="221" hidden="1" customWidth="1"/>
    <col min="12530" max="12774" width="9.140625" style="221"/>
    <col min="12775" max="12775" width="5.5703125" style="221" customWidth="1"/>
    <col min="12776" max="12776" width="58" style="221" customWidth="1"/>
    <col min="12777" max="12777" width="24.140625" style="221" customWidth="1"/>
    <col min="12778" max="12779" width="0" style="221" hidden="1" customWidth="1"/>
    <col min="12780" max="12780" width="61.42578125" style="221" customWidth="1"/>
    <col min="12781" max="12781" width="62.140625" style="221" customWidth="1"/>
    <col min="12782" max="12785" width="0" style="221" hidden="1" customWidth="1"/>
    <col min="12786" max="13030" width="9.140625" style="221"/>
    <col min="13031" max="13031" width="5.5703125" style="221" customWidth="1"/>
    <col min="13032" max="13032" width="58" style="221" customWidth="1"/>
    <col min="13033" max="13033" width="24.140625" style="221" customWidth="1"/>
    <col min="13034" max="13035" width="0" style="221" hidden="1" customWidth="1"/>
    <col min="13036" max="13036" width="61.42578125" style="221" customWidth="1"/>
    <col min="13037" max="13037" width="62.140625" style="221" customWidth="1"/>
    <col min="13038" max="13041" width="0" style="221" hidden="1" customWidth="1"/>
    <col min="13042" max="13286" width="9.140625" style="221"/>
    <col min="13287" max="13287" width="5.5703125" style="221" customWidth="1"/>
    <col min="13288" max="13288" width="58" style="221" customWidth="1"/>
    <col min="13289" max="13289" width="24.140625" style="221" customWidth="1"/>
    <col min="13290" max="13291" width="0" style="221" hidden="1" customWidth="1"/>
    <col min="13292" max="13292" width="61.42578125" style="221" customWidth="1"/>
    <col min="13293" max="13293" width="62.140625" style="221" customWidth="1"/>
    <col min="13294" max="13297" width="0" style="221" hidden="1" customWidth="1"/>
    <col min="13298" max="13542" width="9.140625" style="221"/>
    <col min="13543" max="13543" width="5.5703125" style="221" customWidth="1"/>
    <col min="13544" max="13544" width="58" style="221" customWidth="1"/>
    <col min="13545" max="13545" width="24.140625" style="221" customWidth="1"/>
    <col min="13546" max="13547" width="0" style="221" hidden="1" customWidth="1"/>
    <col min="13548" max="13548" width="61.42578125" style="221" customWidth="1"/>
    <col min="13549" max="13549" width="62.140625" style="221" customWidth="1"/>
    <col min="13550" max="13553" width="0" style="221" hidden="1" customWidth="1"/>
    <col min="13554" max="13798" width="9.140625" style="221"/>
    <col min="13799" max="13799" width="5.5703125" style="221" customWidth="1"/>
    <col min="13800" max="13800" width="58" style="221" customWidth="1"/>
    <col min="13801" max="13801" width="24.140625" style="221" customWidth="1"/>
    <col min="13802" max="13803" width="0" style="221" hidden="1" customWidth="1"/>
    <col min="13804" max="13804" width="61.42578125" style="221" customWidth="1"/>
    <col min="13805" max="13805" width="62.140625" style="221" customWidth="1"/>
    <col min="13806" max="13809" width="0" style="221" hidden="1" customWidth="1"/>
    <col min="13810" max="14054" width="9.140625" style="221"/>
    <col min="14055" max="14055" width="5.5703125" style="221" customWidth="1"/>
    <col min="14056" max="14056" width="58" style="221" customWidth="1"/>
    <col min="14057" max="14057" width="24.140625" style="221" customWidth="1"/>
    <col min="14058" max="14059" width="0" style="221" hidden="1" customWidth="1"/>
    <col min="14060" max="14060" width="61.42578125" style="221" customWidth="1"/>
    <col min="14061" max="14061" width="62.140625" style="221" customWidth="1"/>
    <col min="14062" max="14065" width="0" style="221" hidden="1" customWidth="1"/>
    <col min="14066" max="14310" width="9.140625" style="221"/>
    <col min="14311" max="14311" width="5.5703125" style="221" customWidth="1"/>
    <col min="14312" max="14312" width="58" style="221" customWidth="1"/>
    <col min="14313" max="14313" width="24.140625" style="221" customWidth="1"/>
    <col min="14314" max="14315" width="0" style="221" hidden="1" customWidth="1"/>
    <col min="14316" max="14316" width="61.42578125" style="221" customWidth="1"/>
    <col min="14317" max="14317" width="62.140625" style="221" customWidth="1"/>
    <col min="14318" max="14321" width="0" style="221" hidden="1" customWidth="1"/>
    <col min="14322" max="14566" width="9.140625" style="221"/>
    <col min="14567" max="14567" width="5.5703125" style="221" customWidth="1"/>
    <col min="14568" max="14568" width="58" style="221" customWidth="1"/>
    <col min="14569" max="14569" width="24.140625" style="221" customWidth="1"/>
    <col min="14570" max="14571" width="0" style="221" hidden="1" customWidth="1"/>
    <col min="14572" max="14572" width="61.42578125" style="221" customWidth="1"/>
    <col min="14573" max="14573" width="62.140625" style="221" customWidth="1"/>
    <col min="14574" max="14577" width="0" style="221" hidden="1" customWidth="1"/>
    <col min="14578" max="14822" width="9.140625" style="221"/>
    <col min="14823" max="14823" width="5.5703125" style="221" customWidth="1"/>
    <col min="14824" max="14824" width="58" style="221" customWidth="1"/>
    <col min="14825" max="14825" width="24.140625" style="221" customWidth="1"/>
    <col min="14826" max="14827" width="0" style="221" hidden="1" customWidth="1"/>
    <col min="14828" max="14828" width="61.42578125" style="221" customWidth="1"/>
    <col min="14829" max="14829" width="62.140625" style="221" customWidth="1"/>
    <col min="14830" max="14833" width="0" style="221" hidden="1" customWidth="1"/>
    <col min="14834" max="15078" width="9.140625" style="221"/>
    <col min="15079" max="15079" width="5.5703125" style="221" customWidth="1"/>
    <col min="15080" max="15080" width="58" style="221" customWidth="1"/>
    <col min="15081" max="15081" width="24.140625" style="221" customWidth="1"/>
    <col min="15082" max="15083" width="0" style="221" hidden="1" customWidth="1"/>
    <col min="15084" max="15084" width="61.42578125" style="221" customWidth="1"/>
    <col min="15085" max="15085" width="62.140625" style="221" customWidth="1"/>
    <col min="15086" max="15089" width="0" style="221" hidden="1" customWidth="1"/>
    <col min="15090" max="15334" width="9.140625" style="221"/>
    <col min="15335" max="15335" width="5.5703125" style="221" customWidth="1"/>
    <col min="15336" max="15336" width="58" style="221" customWidth="1"/>
    <col min="15337" max="15337" width="24.140625" style="221" customWidth="1"/>
    <col min="15338" max="15339" width="0" style="221" hidden="1" customWidth="1"/>
    <col min="15340" max="15340" width="61.42578125" style="221" customWidth="1"/>
    <col min="15341" max="15341" width="62.140625" style="221" customWidth="1"/>
    <col min="15342" max="15345" width="0" style="221" hidden="1" customWidth="1"/>
    <col min="15346" max="15590" width="9.140625" style="221"/>
    <col min="15591" max="15591" width="5.5703125" style="221" customWidth="1"/>
    <col min="15592" max="15592" width="58" style="221" customWidth="1"/>
    <col min="15593" max="15593" width="24.140625" style="221" customWidth="1"/>
    <col min="15594" max="15595" width="0" style="221" hidden="1" customWidth="1"/>
    <col min="15596" max="15596" width="61.42578125" style="221" customWidth="1"/>
    <col min="15597" max="15597" width="62.140625" style="221" customWidth="1"/>
    <col min="15598" max="15601" width="0" style="221" hidden="1" customWidth="1"/>
    <col min="15602" max="15846" width="9.140625" style="221"/>
    <col min="15847" max="15847" width="5.5703125" style="221" customWidth="1"/>
    <col min="15848" max="15848" width="58" style="221" customWidth="1"/>
    <col min="15849" max="15849" width="24.140625" style="221" customWidth="1"/>
    <col min="15850" max="15851" width="0" style="221" hidden="1" customWidth="1"/>
    <col min="15852" max="15852" width="61.42578125" style="221" customWidth="1"/>
    <col min="15853" max="15853" width="62.140625" style="221" customWidth="1"/>
    <col min="15854" max="15857" width="0" style="221" hidden="1" customWidth="1"/>
    <col min="15858" max="16102" width="9.140625" style="221"/>
    <col min="16103" max="16103" width="5.5703125" style="221" customWidth="1"/>
    <col min="16104" max="16104" width="58" style="221" customWidth="1"/>
    <col min="16105" max="16105" width="24.140625" style="221" customWidth="1"/>
    <col min="16106" max="16107" width="0" style="221" hidden="1" customWidth="1"/>
    <col min="16108" max="16108" width="61.42578125" style="221" customWidth="1"/>
    <col min="16109" max="16109" width="62.140625" style="221" customWidth="1"/>
    <col min="16110" max="16113" width="0" style="221" hidden="1" customWidth="1"/>
    <col min="16114" max="16357" width="9.140625" style="221"/>
    <col min="16358" max="16384" width="8.85546875" style="221" customWidth="1"/>
  </cols>
  <sheetData>
    <row r="1" spans="2:6" x14ac:dyDescent="0.4">
      <c r="C1" s="222" t="s">
        <v>133</v>
      </c>
    </row>
    <row r="2" spans="2:6" x14ac:dyDescent="0.4">
      <c r="C2" s="224">
        <v>44682</v>
      </c>
    </row>
    <row r="3" spans="2:6" x14ac:dyDescent="0.4">
      <c r="B3" s="225"/>
      <c r="C3" s="226" t="s">
        <v>134</v>
      </c>
    </row>
    <row r="4" spans="2:6" ht="24.95" customHeight="1" thickBot="1" x14ac:dyDescent="0.45">
      <c r="B4" s="227" t="s">
        <v>135</v>
      </c>
      <c r="C4" s="228" t="s">
        <v>136</v>
      </c>
      <c r="D4" s="227" t="s">
        <v>137</v>
      </c>
      <c r="E4" s="229" t="s">
        <v>138</v>
      </c>
      <c r="F4" s="229" t="s">
        <v>139</v>
      </c>
    </row>
    <row r="5" spans="2:6" ht="39.950000000000003" customHeight="1" x14ac:dyDescent="0.4">
      <c r="B5" s="230" t="s">
        <v>140</v>
      </c>
      <c r="C5" s="231">
        <v>20</v>
      </c>
      <c r="D5" s="1108" t="s">
        <v>141</v>
      </c>
      <c r="E5" s="1100" t="s">
        <v>142</v>
      </c>
      <c r="F5" s="1100" t="s">
        <v>143</v>
      </c>
    </row>
    <row r="6" spans="2:6" ht="42.6" customHeight="1" thickBot="1" x14ac:dyDescent="0.45">
      <c r="B6" s="232" t="s">
        <v>144</v>
      </c>
      <c r="C6" s="233">
        <f>C5*2080</f>
        <v>41600</v>
      </c>
      <c r="D6" s="1109"/>
      <c r="E6" s="1101"/>
      <c r="F6" s="1101"/>
    </row>
    <row r="7" spans="2:6" x14ac:dyDescent="0.4">
      <c r="B7" s="234" t="s">
        <v>145</v>
      </c>
      <c r="C7" s="231">
        <f>'[20]DC  CNA  DC III'!I19</f>
        <v>25.580080000000002</v>
      </c>
      <c r="D7" s="235" t="s">
        <v>146</v>
      </c>
      <c r="E7" s="1100" t="s">
        <v>147</v>
      </c>
      <c r="F7" s="1100" t="s">
        <v>148</v>
      </c>
    </row>
    <row r="8" spans="2:6" ht="46.5" customHeight="1" thickBot="1" x14ac:dyDescent="0.45">
      <c r="B8" s="236" t="s">
        <v>149</v>
      </c>
      <c r="C8" s="237">
        <f>C7*2080</f>
        <v>53206.566400000003</v>
      </c>
      <c r="D8" s="223" t="s">
        <v>150</v>
      </c>
      <c r="E8" s="1107"/>
      <c r="F8" s="1107"/>
    </row>
    <row r="9" spans="2:6" ht="26.1" customHeight="1" x14ac:dyDescent="0.4">
      <c r="B9" s="234" t="s">
        <v>151</v>
      </c>
      <c r="C9" s="231">
        <f>'[20]DC  CNA  DC III'!I11</f>
        <v>19.121599999999997</v>
      </c>
      <c r="D9" s="235"/>
      <c r="E9" s="1100" t="s">
        <v>152</v>
      </c>
      <c r="F9" s="1100" t="s">
        <v>153</v>
      </c>
    </row>
    <row r="10" spans="2:6" ht="27" thickBot="1" x14ac:dyDescent="0.45">
      <c r="B10" s="238" t="s">
        <v>154</v>
      </c>
      <c r="C10" s="233">
        <f>'[20]DC  CNA  DC III'!J11</f>
        <v>39772.927999999993</v>
      </c>
      <c r="D10" s="239"/>
      <c r="E10" s="1101"/>
      <c r="F10" s="1101"/>
    </row>
    <row r="11" spans="2:6" x14ac:dyDescent="0.4">
      <c r="B11" s="234" t="s">
        <v>155</v>
      </c>
      <c r="C11" s="231">
        <f>'[20]Case Social Worker.Manager'!J4</f>
        <v>28.180799999999998</v>
      </c>
      <c r="D11" s="235" t="s">
        <v>156</v>
      </c>
      <c r="E11" s="1100" t="s">
        <v>157</v>
      </c>
      <c r="F11" s="1100" t="s">
        <v>158</v>
      </c>
    </row>
    <row r="12" spans="2:6" ht="27" thickBot="1" x14ac:dyDescent="0.45">
      <c r="B12" s="236" t="s">
        <v>159</v>
      </c>
      <c r="C12" s="237">
        <f>C11*2080</f>
        <v>58616.063999999998</v>
      </c>
      <c r="D12" s="221" t="s">
        <v>160</v>
      </c>
      <c r="E12" s="1107"/>
      <c r="F12" s="1107"/>
    </row>
    <row r="13" spans="2:6" ht="52.5" x14ac:dyDescent="0.4">
      <c r="B13" s="240" t="s">
        <v>161</v>
      </c>
      <c r="C13" s="231">
        <f>'[20]Case Social Worker.Manager'!J11</f>
        <v>30.9283</v>
      </c>
      <c r="D13" s="235" t="s">
        <v>162</v>
      </c>
      <c r="E13" s="1100" t="s">
        <v>163</v>
      </c>
      <c r="F13" s="1100" t="s">
        <v>164</v>
      </c>
    </row>
    <row r="14" spans="2:6" ht="53.25" thickBot="1" x14ac:dyDescent="0.45">
      <c r="B14" s="241" t="s">
        <v>165</v>
      </c>
      <c r="C14" s="233">
        <f>C13*2080</f>
        <v>64330.864000000001</v>
      </c>
      <c r="D14" s="239" t="s">
        <v>166</v>
      </c>
      <c r="E14" s="1101"/>
      <c r="F14" s="1101"/>
    </row>
    <row r="15" spans="2:6" x14ac:dyDescent="0.4">
      <c r="B15" s="234" t="s">
        <v>167</v>
      </c>
      <c r="C15" s="231">
        <f>[20]Nursing!J2</f>
        <v>31.575200000000002</v>
      </c>
      <c r="D15" s="235"/>
      <c r="E15" s="1100" t="s">
        <v>168</v>
      </c>
      <c r="F15" s="1100" t="s">
        <v>169</v>
      </c>
    </row>
    <row r="16" spans="2:6" ht="27" thickBot="1" x14ac:dyDescent="0.45">
      <c r="B16" s="238" t="s">
        <v>170</v>
      </c>
      <c r="C16" s="242">
        <f>C15*2080</f>
        <v>65676.416000000012</v>
      </c>
      <c r="D16" s="239" t="s">
        <v>171</v>
      </c>
      <c r="E16" s="1101"/>
      <c r="F16" s="1101"/>
    </row>
    <row r="17" spans="2:12" x14ac:dyDescent="0.4">
      <c r="B17" s="234" t="s">
        <v>172</v>
      </c>
      <c r="C17" s="231">
        <f>[20]Clinical!J6</f>
        <v>38.753100000000003</v>
      </c>
      <c r="D17" s="235" t="s">
        <v>173</v>
      </c>
      <c r="E17" s="1100" t="s">
        <v>174</v>
      </c>
      <c r="F17" s="1100" t="s">
        <v>175</v>
      </c>
    </row>
    <row r="18" spans="2:12" ht="27" thickBot="1" x14ac:dyDescent="0.45">
      <c r="B18" s="238" t="s">
        <v>176</v>
      </c>
      <c r="C18" s="233">
        <f>C17*2080</f>
        <v>80606.448000000004</v>
      </c>
      <c r="D18" s="239"/>
      <c r="E18" s="1101"/>
      <c r="F18" s="1101"/>
    </row>
    <row r="19" spans="2:12" x14ac:dyDescent="0.4">
      <c r="B19" s="234" t="s">
        <v>177</v>
      </c>
      <c r="C19" s="243">
        <f>[20]Therapies!M2</f>
        <v>32.740400000000001</v>
      </c>
      <c r="D19" s="235"/>
      <c r="E19" s="1100" t="s">
        <v>178</v>
      </c>
      <c r="F19" s="1100" t="s">
        <v>179</v>
      </c>
    </row>
    <row r="20" spans="2:12" ht="27" thickBot="1" x14ac:dyDescent="0.45">
      <c r="B20" s="238" t="s">
        <v>180</v>
      </c>
      <c r="C20" s="233">
        <f>C19*2080</f>
        <v>68100.032000000007</v>
      </c>
      <c r="D20" s="239"/>
      <c r="E20" s="1101"/>
      <c r="F20" s="1101"/>
    </row>
    <row r="21" spans="2:12" x14ac:dyDescent="0.4">
      <c r="B21" s="236" t="s">
        <v>181</v>
      </c>
      <c r="C21" s="244">
        <f>[20]Management!J2</f>
        <v>38.180400000000006</v>
      </c>
      <c r="D21" s="221" t="s">
        <v>182</v>
      </c>
      <c r="E21" s="1100" t="s">
        <v>183</v>
      </c>
      <c r="F21" s="1105" t="s">
        <v>184</v>
      </c>
    </row>
    <row r="22" spans="2:12" ht="27" thickBot="1" x14ac:dyDescent="0.45">
      <c r="B22" s="238" t="s">
        <v>185</v>
      </c>
      <c r="C22" s="233">
        <f>C21*2080</f>
        <v>79415.232000000018</v>
      </c>
      <c r="D22" s="239" t="s">
        <v>186</v>
      </c>
      <c r="E22" s="1101"/>
      <c r="F22" s="1106"/>
    </row>
    <row r="23" spans="2:12" ht="39.950000000000003" customHeight="1" x14ac:dyDescent="0.4">
      <c r="B23" s="245" t="s">
        <v>187</v>
      </c>
      <c r="C23" s="244">
        <f>[20]Therapies!M8</f>
        <v>38.017499999999998</v>
      </c>
      <c r="D23" s="221" t="s">
        <v>188</v>
      </c>
      <c r="E23" s="1100" t="s">
        <v>163</v>
      </c>
      <c r="F23" s="1100" t="s">
        <v>189</v>
      </c>
    </row>
    <row r="24" spans="2:12" ht="39.950000000000003" customHeight="1" thickBot="1" x14ac:dyDescent="0.45">
      <c r="B24" s="232" t="s">
        <v>190</v>
      </c>
      <c r="C24" s="233">
        <f>C23*2080</f>
        <v>79076.399999999994</v>
      </c>
      <c r="D24" s="239"/>
      <c r="E24" s="1101"/>
      <c r="F24" s="1101"/>
    </row>
    <row r="25" spans="2:12" x14ac:dyDescent="0.4">
      <c r="B25" s="236" t="s">
        <v>191</v>
      </c>
      <c r="C25" s="244">
        <f>[20]Therapies!M14</f>
        <v>41.25168</v>
      </c>
      <c r="D25" s="221" t="s">
        <v>192</v>
      </c>
      <c r="E25" s="1100" t="s">
        <v>163</v>
      </c>
      <c r="F25" s="1100" t="s">
        <v>193</v>
      </c>
    </row>
    <row r="26" spans="2:12" ht="27" thickBot="1" x14ac:dyDescent="0.45">
      <c r="B26" s="238" t="s">
        <v>194</v>
      </c>
      <c r="C26" s="237">
        <f>C25*2080</f>
        <v>85803.494399999996</v>
      </c>
      <c r="E26" s="1101"/>
      <c r="F26" s="1101"/>
    </row>
    <row r="27" spans="2:12" x14ac:dyDescent="0.4">
      <c r="B27" s="234" t="s">
        <v>195</v>
      </c>
      <c r="C27" s="231">
        <f>[20]Clinical!J12</f>
        <v>48.742200000000004</v>
      </c>
      <c r="D27" s="1103" t="s">
        <v>196</v>
      </c>
      <c r="E27" s="1100" t="s">
        <v>197</v>
      </c>
      <c r="F27" s="1100" t="s">
        <v>198</v>
      </c>
    </row>
    <row r="28" spans="2:12" ht="55.5" customHeight="1" thickBot="1" x14ac:dyDescent="0.45">
      <c r="B28" s="238" t="s">
        <v>199</v>
      </c>
      <c r="C28" s="233">
        <f>C27*2080</f>
        <v>101383.77600000001</v>
      </c>
      <c r="D28" s="1104"/>
      <c r="E28" s="1101"/>
      <c r="F28" s="1101"/>
    </row>
    <row r="29" spans="2:12" x14ac:dyDescent="0.4">
      <c r="B29" s="230" t="s">
        <v>200</v>
      </c>
      <c r="C29" s="231">
        <f>[20]Therapies!M18</f>
        <v>42.756720000000001</v>
      </c>
      <c r="D29" s="235"/>
      <c r="E29" s="1100" t="s">
        <v>163</v>
      </c>
      <c r="F29" s="1100" t="s">
        <v>201</v>
      </c>
    </row>
    <row r="30" spans="2:12" ht="40.5" customHeight="1" thickBot="1" x14ac:dyDescent="0.45">
      <c r="B30" s="232" t="s">
        <v>202</v>
      </c>
      <c r="C30" s="233">
        <f>C29*2080</f>
        <v>88933.977599999998</v>
      </c>
      <c r="D30" s="239"/>
      <c r="E30" s="1101"/>
      <c r="F30" s="1101"/>
    </row>
    <row r="31" spans="2:12" x14ac:dyDescent="0.4">
      <c r="B31" s="234" t="s">
        <v>203</v>
      </c>
      <c r="C31" s="231">
        <f>[20]Nursing!J6</f>
        <v>49.162799999999997</v>
      </c>
      <c r="D31" s="235"/>
      <c r="E31" s="1100" t="s">
        <v>204</v>
      </c>
      <c r="F31" s="1100" t="s">
        <v>205</v>
      </c>
      <c r="I31" s="246" t="s">
        <v>206</v>
      </c>
      <c r="J31" s="1102" t="s">
        <v>207</v>
      </c>
      <c r="K31" s="1102"/>
      <c r="L31" s="247"/>
    </row>
    <row r="32" spans="2:12" ht="66.75" customHeight="1" thickBot="1" x14ac:dyDescent="0.45">
      <c r="B32" s="238" t="s">
        <v>208</v>
      </c>
      <c r="C32" s="242">
        <f>C31*2080</f>
        <v>102258.624</v>
      </c>
      <c r="D32" s="239"/>
      <c r="E32" s="1101"/>
      <c r="F32" s="1101"/>
      <c r="I32" s="248"/>
      <c r="J32" s="249" t="s">
        <v>67</v>
      </c>
      <c r="K32" s="250" t="s">
        <v>68</v>
      </c>
      <c r="L32" s="251"/>
    </row>
    <row r="33" spans="2:12" x14ac:dyDescent="0.4">
      <c r="B33" s="234" t="s">
        <v>209</v>
      </c>
      <c r="C33" s="231">
        <f>[20]Nursing!J11</f>
        <v>65.162400000000005</v>
      </c>
      <c r="D33" s="235"/>
      <c r="E33" s="1100" t="s">
        <v>210</v>
      </c>
      <c r="F33" s="1100" t="s">
        <v>211</v>
      </c>
      <c r="I33" s="252" t="s">
        <v>212</v>
      </c>
      <c r="J33" s="253">
        <v>15</v>
      </c>
      <c r="K33" s="253">
        <f>J33*8</f>
        <v>120</v>
      </c>
      <c r="L33" s="251"/>
    </row>
    <row r="34" spans="2:12" ht="27" thickBot="1" x14ac:dyDescent="0.45">
      <c r="B34" s="238" t="s">
        <v>213</v>
      </c>
      <c r="C34" s="233">
        <f>C33*2080</f>
        <v>135537.79200000002</v>
      </c>
      <c r="D34" s="239"/>
      <c r="E34" s="1101"/>
      <c r="F34" s="1101"/>
      <c r="I34" s="252" t="s">
        <v>214</v>
      </c>
      <c r="J34" s="253">
        <v>10</v>
      </c>
      <c r="K34" s="253">
        <f>J34*8</f>
        <v>80</v>
      </c>
      <c r="L34" s="251"/>
    </row>
    <row r="35" spans="2:12" x14ac:dyDescent="0.4">
      <c r="I35" s="252" t="s">
        <v>215</v>
      </c>
      <c r="J35" s="253">
        <v>11</v>
      </c>
      <c r="K35" s="253">
        <f>J35*8</f>
        <v>88</v>
      </c>
      <c r="L35" s="251"/>
    </row>
    <row r="36" spans="2:12" ht="52.5" x14ac:dyDescent="0.4">
      <c r="B36" s="254" t="s">
        <v>216</v>
      </c>
      <c r="C36" s="237">
        <f>C6</f>
        <v>41600</v>
      </c>
      <c r="I36" s="255" t="s">
        <v>217</v>
      </c>
      <c r="J36" s="256">
        <v>5</v>
      </c>
      <c r="K36" s="256">
        <f>J36*8</f>
        <v>40</v>
      </c>
      <c r="L36" s="257"/>
    </row>
    <row r="37" spans="2:12" x14ac:dyDescent="0.4">
      <c r="C37" s="258"/>
      <c r="I37" s="252"/>
      <c r="J37" s="259" t="s">
        <v>72</v>
      </c>
      <c r="K37" s="253">
        <f>SUM(K33:K36)</f>
        <v>328</v>
      </c>
      <c r="L37" s="260"/>
    </row>
    <row r="38" spans="2:12" ht="27" thickBot="1" x14ac:dyDescent="0.45">
      <c r="B38" s="261" t="s">
        <v>218</v>
      </c>
      <c r="C38" s="262">
        <v>0.27379999999999999</v>
      </c>
      <c r="D38" s="221" t="s">
        <v>219</v>
      </c>
      <c r="I38" s="263"/>
      <c r="J38" s="264" t="s">
        <v>220</v>
      </c>
      <c r="K38" s="265">
        <f>K37/(52*40)</f>
        <v>0.15769230769230769</v>
      </c>
      <c r="L38" s="266"/>
    </row>
    <row r="39" spans="2:12" ht="34.35" customHeight="1" x14ac:dyDescent="0.4">
      <c r="B39" s="261"/>
      <c r="C39" s="258"/>
      <c r="D39" s="1097" t="s">
        <v>221</v>
      </c>
      <c r="E39" s="1097"/>
      <c r="F39" s="221"/>
    </row>
    <row r="40" spans="2:12" x14ac:dyDescent="0.4">
      <c r="C40" s="258"/>
    </row>
    <row r="41" spans="2:12" x14ac:dyDescent="0.4">
      <c r="B41" s="261" t="s">
        <v>222</v>
      </c>
      <c r="C41" s="267">
        <v>0.12</v>
      </c>
      <c r="D41" s="221" t="s">
        <v>223</v>
      </c>
    </row>
    <row r="42" spans="2:12" x14ac:dyDescent="0.4">
      <c r="B42" s="261"/>
      <c r="C42" s="268"/>
    </row>
    <row r="43" spans="2:12" x14ac:dyDescent="0.4">
      <c r="B43" s="1098" t="s">
        <v>224</v>
      </c>
      <c r="C43" s="1098"/>
      <c r="D43" s="1098"/>
    </row>
    <row r="44" spans="2:12" x14ac:dyDescent="0.4">
      <c r="B44" s="269" t="s">
        <v>225</v>
      </c>
      <c r="C44" s="237">
        <v>247470</v>
      </c>
      <c r="D44" s="221" t="s">
        <v>226</v>
      </c>
    </row>
    <row r="45" spans="2:12" x14ac:dyDescent="0.4">
      <c r="B45" s="261" t="s">
        <v>227</v>
      </c>
      <c r="C45" s="237">
        <v>252850</v>
      </c>
      <c r="D45" s="221" t="s">
        <v>228</v>
      </c>
    </row>
    <row r="46" spans="2:12" x14ac:dyDescent="0.4">
      <c r="B46" s="261" t="s">
        <v>229</v>
      </c>
      <c r="C46" s="237">
        <f>'[20]M2022 53_PCT'!N33</f>
        <v>135424.64000000001</v>
      </c>
      <c r="D46" s="221" t="s">
        <v>230</v>
      </c>
    </row>
    <row r="47" spans="2:12" x14ac:dyDescent="0.4">
      <c r="B47" s="261" t="s">
        <v>231</v>
      </c>
      <c r="C47" s="270">
        <f>C6</f>
        <v>41600</v>
      </c>
      <c r="D47" s="221" t="s">
        <v>232</v>
      </c>
    </row>
    <row r="48" spans="2:12" x14ac:dyDescent="0.4">
      <c r="B48" s="261" t="s">
        <v>233</v>
      </c>
      <c r="C48" s="270">
        <f>AVERAGE(C6,C8)</f>
        <v>47403.283200000005</v>
      </c>
      <c r="D48" s="221" t="s">
        <v>234</v>
      </c>
    </row>
    <row r="49" spans="2:6" x14ac:dyDescent="0.4">
      <c r="B49" s="261" t="s">
        <v>235</v>
      </c>
      <c r="C49" s="237">
        <f>C8</f>
        <v>53206.566400000003</v>
      </c>
      <c r="D49" s="221" t="s">
        <v>236</v>
      </c>
    </row>
    <row r="50" spans="2:6" x14ac:dyDescent="0.4">
      <c r="B50" s="261" t="s">
        <v>237</v>
      </c>
      <c r="C50" s="237">
        <f>'[20]M2022 53_PCT'!N34</f>
        <v>40890.303999999996</v>
      </c>
      <c r="D50" s="221" t="s">
        <v>238</v>
      </c>
    </row>
    <row r="51" spans="2:6" x14ac:dyDescent="0.4">
      <c r="B51" s="261" t="s">
        <v>239</v>
      </c>
      <c r="C51" s="270">
        <f>'[20]M2022 53_PCT'!N37</f>
        <v>50652.160000000003</v>
      </c>
      <c r="D51" s="221" t="s">
        <v>240</v>
      </c>
    </row>
    <row r="52" spans="2:6" x14ac:dyDescent="0.4">
      <c r="B52" s="261" t="s">
        <v>241</v>
      </c>
      <c r="C52" s="270">
        <f>AVERAGE('[20]M2022 53_PCT'!N35,'[20]M2022 53_PCT'!N36)</f>
        <v>57014.464000000007</v>
      </c>
      <c r="D52" s="221" t="s">
        <v>242</v>
      </c>
    </row>
    <row r="53" spans="2:6" x14ac:dyDescent="0.4">
      <c r="B53" s="261"/>
      <c r="C53" s="270"/>
    </row>
    <row r="54" spans="2:6" x14ac:dyDescent="0.4">
      <c r="B54" s="261"/>
      <c r="C54" s="270"/>
    </row>
    <row r="55" spans="2:6" x14ac:dyDescent="0.4">
      <c r="B55" s="1099" t="s">
        <v>243</v>
      </c>
      <c r="C55" s="1099"/>
      <c r="D55" s="1099"/>
      <c r="E55" s="1099"/>
      <c r="F55" s="1099"/>
    </row>
    <row r="56" spans="2:6" x14ac:dyDescent="0.4">
      <c r="B56" s="271" t="s">
        <v>244</v>
      </c>
      <c r="C56" s="221" t="s">
        <v>245</v>
      </c>
    </row>
    <row r="57" spans="2:6" ht="66.599999999999994" customHeight="1" x14ac:dyDescent="0.4">
      <c r="B57" s="272" t="s">
        <v>246</v>
      </c>
      <c r="C57" s="1097" t="s">
        <v>247</v>
      </c>
      <c r="D57" s="1097"/>
      <c r="E57" s="1097"/>
      <c r="F57" s="1097"/>
    </row>
    <row r="60" spans="2:6" x14ac:dyDescent="0.4">
      <c r="B60" s="273" t="s">
        <v>248</v>
      </c>
      <c r="C60" s="274">
        <f>(C32*0.5)+(C16*0.5)</f>
        <v>83967.52</v>
      </c>
    </row>
  </sheetData>
  <mergeCells count="37">
    <mergeCell ref="E9:E10"/>
    <mergeCell ref="F9:F10"/>
    <mergeCell ref="D5:D6"/>
    <mergeCell ref="E5:E6"/>
    <mergeCell ref="F5:F6"/>
    <mergeCell ref="E7:E8"/>
    <mergeCell ref="F7:F8"/>
    <mergeCell ref="E11:E12"/>
    <mergeCell ref="F11:F12"/>
    <mergeCell ref="E13:E14"/>
    <mergeCell ref="F13:F14"/>
    <mergeCell ref="E15:E16"/>
    <mergeCell ref="F15:F16"/>
    <mergeCell ref="D27:D28"/>
    <mergeCell ref="E27:E28"/>
    <mergeCell ref="F27:F28"/>
    <mergeCell ref="E17:E18"/>
    <mergeCell ref="F17:F18"/>
    <mergeCell ref="E19:E20"/>
    <mergeCell ref="F19:F20"/>
    <mergeCell ref="E21:E22"/>
    <mergeCell ref="F21:F22"/>
    <mergeCell ref="J31:K31"/>
    <mergeCell ref="E33:E34"/>
    <mergeCell ref="F33:F34"/>
    <mergeCell ref="E23:E24"/>
    <mergeCell ref="F23:F24"/>
    <mergeCell ref="E25:E26"/>
    <mergeCell ref="F25:F26"/>
    <mergeCell ref="D39:E39"/>
    <mergeCell ref="B43:D43"/>
    <mergeCell ref="B55:F55"/>
    <mergeCell ref="C57:F57"/>
    <mergeCell ref="E29:E30"/>
    <mergeCell ref="F29:F30"/>
    <mergeCell ref="E31:E32"/>
    <mergeCell ref="F31:F32"/>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02EB-C5F4-4D3A-BA10-11C088F1216B}">
  <dimension ref="A1:S49"/>
  <sheetViews>
    <sheetView topLeftCell="A19" zoomScaleNormal="100" workbookViewId="0">
      <selection activeCell="B32" sqref="B32"/>
    </sheetView>
  </sheetViews>
  <sheetFormatPr defaultColWidth="8.85546875" defaultRowHeight="15.75" x14ac:dyDescent="0.25"/>
  <cols>
    <col min="1" max="1" width="43.85546875" style="316" customWidth="1"/>
    <col min="2" max="2" width="12.5703125" style="316" customWidth="1"/>
    <col min="3" max="3" width="11.140625" style="316" bestFit="1" customWidth="1"/>
    <col min="4" max="4" width="28.85546875" style="316" customWidth="1"/>
    <col min="5" max="5" width="8.85546875" style="316"/>
    <col min="6" max="6" width="30.42578125" style="316" customWidth="1"/>
    <col min="7" max="7" width="17.85546875" style="316" customWidth="1"/>
    <col min="8" max="8" width="18.140625" style="316" customWidth="1"/>
    <col min="9" max="9" width="12.42578125" style="316" customWidth="1"/>
    <col min="10" max="10" width="8.85546875" style="316"/>
    <col min="11" max="11" width="31.85546875" style="316" customWidth="1"/>
    <col min="12" max="12" width="18.5703125" style="316" bestFit="1" customWidth="1"/>
    <col min="13" max="13" width="19.85546875" style="316" customWidth="1"/>
    <col min="14" max="14" width="17" style="316" customWidth="1"/>
    <col min="15" max="16384" width="8.85546875" style="316"/>
  </cols>
  <sheetData>
    <row r="1" spans="1:19" ht="16.5" thickBot="1" x14ac:dyDescent="0.3"/>
    <row r="2" spans="1:19" ht="23.25" customHeight="1" thickBot="1" x14ac:dyDescent="0.3">
      <c r="A2" s="1219" t="s">
        <v>379</v>
      </c>
      <c r="B2" s="1220"/>
      <c r="C2" s="1220"/>
      <c r="D2" s="1221"/>
      <c r="F2" s="1222" t="s">
        <v>380</v>
      </c>
      <c r="G2" s="1223"/>
      <c r="H2" s="1223"/>
      <c r="I2" s="1224"/>
      <c r="J2"/>
      <c r="K2" s="1222" t="s">
        <v>381</v>
      </c>
      <c r="L2" s="1223"/>
      <c r="M2" s="1223"/>
      <c r="N2" s="1224"/>
      <c r="O2"/>
      <c r="P2"/>
      <c r="Q2"/>
      <c r="R2"/>
      <c r="S2"/>
    </row>
    <row r="3" spans="1:19" ht="28.7" customHeight="1" x14ac:dyDescent="0.25">
      <c r="A3" s="1225" t="s">
        <v>382</v>
      </c>
      <c r="B3" s="1226"/>
      <c r="C3" s="1226"/>
      <c r="D3" s="317" t="s">
        <v>51</v>
      </c>
      <c r="F3" s="365" t="s">
        <v>383</v>
      </c>
      <c r="G3" s="43">
        <v>8</v>
      </c>
      <c r="H3" s="366" t="s">
        <v>384</v>
      </c>
      <c r="I3" s="367">
        <v>2920</v>
      </c>
      <c r="J3"/>
      <c r="K3" s="365" t="s">
        <v>383</v>
      </c>
      <c r="L3" s="43">
        <v>5</v>
      </c>
      <c r="M3" s="366" t="s">
        <v>384</v>
      </c>
      <c r="N3" s="367">
        <v>1825</v>
      </c>
      <c r="O3"/>
      <c r="P3"/>
      <c r="Q3"/>
      <c r="R3"/>
      <c r="S3"/>
    </row>
    <row r="4" spans="1:19" x14ac:dyDescent="0.25">
      <c r="A4" s="524" t="s">
        <v>385</v>
      </c>
      <c r="B4" s="525">
        <f>'[21]M2022 BLS SALARY CHART (53_PCT)'!C12</f>
        <v>58616.063999999998</v>
      </c>
      <c r="C4" s="526"/>
      <c r="D4" s="527" t="s">
        <v>386</v>
      </c>
      <c r="F4" s="368" t="s">
        <v>135</v>
      </c>
      <c r="G4" s="369" t="s">
        <v>7</v>
      </c>
      <c r="H4" s="369" t="s">
        <v>387</v>
      </c>
      <c r="I4" s="370" t="s">
        <v>76</v>
      </c>
      <c r="J4"/>
      <c r="K4" s="368" t="s">
        <v>135</v>
      </c>
      <c r="L4" s="369" t="s">
        <v>7</v>
      </c>
      <c r="M4" s="369" t="s">
        <v>387</v>
      </c>
      <c r="N4" s="370" t="s">
        <v>76</v>
      </c>
      <c r="O4"/>
      <c r="P4"/>
      <c r="Q4"/>
      <c r="R4"/>
      <c r="S4"/>
    </row>
    <row r="5" spans="1:19" x14ac:dyDescent="0.25">
      <c r="A5" s="524" t="s">
        <v>388</v>
      </c>
      <c r="B5" s="525">
        <f>'[21]M2022 BLS SALARY CHART (53_PCT)'!C8</f>
        <v>53206.566400000003</v>
      </c>
      <c r="C5" s="526"/>
      <c r="D5" s="527" t="s">
        <v>389</v>
      </c>
      <c r="F5" s="552" t="s">
        <v>385</v>
      </c>
      <c r="G5" s="553">
        <f>B4</f>
        <v>58616.063999999998</v>
      </c>
      <c r="H5" s="554">
        <v>0.43</v>
      </c>
      <c r="I5" s="555">
        <f>H5*G5</f>
        <v>25204.907520000001</v>
      </c>
      <c r="J5"/>
      <c r="K5" s="552" t="s">
        <v>385</v>
      </c>
      <c r="L5" s="553">
        <f>G5</f>
        <v>58616.063999999998</v>
      </c>
      <c r="M5" s="554">
        <v>0.55000000000000004</v>
      </c>
      <c r="N5" s="555">
        <f>M5*L5</f>
        <v>32238.835200000001</v>
      </c>
      <c r="O5"/>
      <c r="P5"/>
      <c r="Q5"/>
      <c r="R5"/>
      <c r="S5"/>
    </row>
    <row r="6" spans="1:19" x14ac:dyDescent="0.25">
      <c r="A6" s="528" t="s">
        <v>390</v>
      </c>
      <c r="B6" s="525">
        <f>'[21]M2022 BLS SALARY CHART (53_PCT)'!C14</f>
        <v>64330.864000000001</v>
      </c>
      <c r="C6" s="526"/>
      <c r="D6" s="527" t="s">
        <v>391</v>
      </c>
      <c r="F6" s="552" t="s">
        <v>388</v>
      </c>
      <c r="G6" s="553">
        <f>B5</f>
        <v>53206.566400000003</v>
      </c>
      <c r="H6" s="556">
        <v>0.22</v>
      </c>
      <c r="I6" s="555">
        <f t="shared" ref="I6:I9" si="0">H6*G6</f>
        <v>11705.444608000002</v>
      </c>
      <c r="J6"/>
      <c r="K6" s="552" t="s">
        <v>388</v>
      </c>
      <c r="L6" s="553">
        <f t="shared" ref="L6:L9" si="1">G6</f>
        <v>53206.566400000003</v>
      </c>
      <c r="M6" s="554">
        <v>0.25</v>
      </c>
      <c r="N6" s="555">
        <f t="shared" ref="N6:N9" si="2">M6*L6</f>
        <v>13301.641600000001</v>
      </c>
      <c r="O6"/>
      <c r="P6"/>
      <c r="Q6"/>
      <c r="R6"/>
      <c r="S6"/>
    </row>
    <row r="7" spans="1:19" x14ac:dyDescent="0.25">
      <c r="A7" s="524" t="s">
        <v>392</v>
      </c>
      <c r="B7" s="525">
        <f>'[21]M2022 BLS SALARY CHART (53_PCT)'!C6</f>
        <v>41600</v>
      </c>
      <c r="C7" s="526"/>
      <c r="D7" s="527" t="s">
        <v>393</v>
      </c>
      <c r="F7" s="557" t="s">
        <v>390</v>
      </c>
      <c r="G7" s="553">
        <f>B6</f>
        <v>64330.864000000001</v>
      </c>
      <c r="H7" s="556">
        <v>1</v>
      </c>
      <c r="I7" s="555">
        <f t="shared" si="0"/>
        <v>64330.864000000001</v>
      </c>
      <c r="J7"/>
      <c r="K7" s="557" t="s">
        <v>390</v>
      </c>
      <c r="L7" s="553">
        <f t="shared" si="1"/>
        <v>64330.864000000001</v>
      </c>
      <c r="M7" s="556">
        <v>1</v>
      </c>
      <c r="N7" s="555">
        <f t="shared" si="2"/>
        <v>64330.864000000001</v>
      </c>
      <c r="O7"/>
      <c r="P7"/>
      <c r="Q7"/>
      <c r="R7"/>
      <c r="S7"/>
    </row>
    <row r="8" spans="1:19" ht="30" x14ac:dyDescent="0.25">
      <c r="A8" s="524" t="s">
        <v>394</v>
      </c>
      <c r="B8" s="529">
        <f>'[21]M2022 BLS SALARY CHART (53_PCT)'!C22</f>
        <v>79415.232000000018</v>
      </c>
      <c r="C8" s="530"/>
      <c r="D8" s="531" t="s">
        <v>395</v>
      </c>
      <c r="F8" s="552" t="s">
        <v>392</v>
      </c>
      <c r="G8" s="553">
        <f>B7</f>
        <v>41600</v>
      </c>
      <c r="H8" s="556">
        <v>1.004</v>
      </c>
      <c r="I8" s="555">
        <f t="shared" si="0"/>
        <v>41766.400000000001</v>
      </c>
      <c r="J8"/>
      <c r="K8" s="552" t="s">
        <v>392</v>
      </c>
      <c r="L8" s="553">
        <f t="shared" si="1"/>
        <v>41600</v>
      </c>
      <c r="M8" s="556">
        <v>0.6</v>
      </c>
      <c r="N8" s="555">
        <f t="shared" si="2"/>
        <v>24960</v>
      </c>
      <c r="O8"/>
      <c r="P8"/>
      <c r="Q8"/>
      <c r="R8"/>
      <c r="S8"/>
    </row>
    <row r="9" spans="1:19" ht="16.5" thickBot="1" x14ac:dyDescent="0.3">
      <c r="A9" s="1227" t="s">
        <v>396</v>
      </c>
      <c r="B9" s="1228"/>
      <c r="C9" s="1228"/>
      <c r="D9" s="532"/>
      <c r="F9" s="552" t="s">
        <v>394</v>
      </c>
      <c r="G9" s="553">
        <f>B8</f>
        <v>79415.232000000018</v>
      </c>
      <c r="H9" s="556">
        <v>0.1</v>
      </c>
      <c r="I9" s="555">
        <f t="shared" si="0"/>
        <v>7941.5232000000024</v>
      </c>
      <c r="J9"/>
      <c r="K9" s="552" t="s">
        <v>394</v>
      </c>
      <c r="L9" s="553">
        <f t="shared" si="1"/>
        <v>79415.232000000018</v>
      </c>
      <c r="M9" s="556">
        <v>0.15</v>
      </c>
      <c r="N9" s="555">
        <f t="shared" si="2"/>
        <v>11912.284800000003</v>
      </c>
      <c r="O9"/>
      <c r="P9"/>
      <c r="Q9"/>
      <c r="R9"/>
      <c r="S9"/>
    </row>
    <row r="10" spans="1:19" ht="16.5" thickBot="1" x14ac:dyDescent="0.3">
      <c r="A10" s="524" t="s">
        <v>52</v>
      </c>
      <c r="B10" s="533"/>
      <c r="C10" s="533">
        <f>'[21]M2022 BLS SALARY CHART (53_PCT)'!C38</f>
        <v>0.27379999999999999</v>
      </c>
      <c r="D10" s="534" t="s">
        <v>397</v>
      </c>
      <c r="F10" s="26" t="s">
        <v>10</v>
      </c>
      <c r="G10" s="558"/>
      <c r="H10" s="372">
        <f>SUM(H5:H9)</f>
        <v>2.754</v>
      </c>
      <c r="I10" s="559">
        <f>SUM(I5:I9)</f>
        <v>150949.13932799999</v>
      </c>
      <c r="J10"/>
      <c r="K10" s="26" t="s">
        <v>10</v>
      </c>
      <c r="L10" s="558"/>
      <c r="M10" s="372">
        <f>SUM(M5:M9)</f>
        <v>2.5499999999999998</v>
      </c>
      <c r="N10" s="559">
        <f>SUM(N5:N9)</f>
        <v>146743.6256</v>
      </c>
      <c r="O10"/>
      <c r="P10"/>
      <c r="Q10"/>
      <c r="R10"/>
      <c r="S10"/>
    </row>
    <row r="11" spans="1:19" x14ac:dyDescent="0.25">
      <c r="A11" s="524" t="s">
        <v>398</v>
      </c>
      <c r="B11" s="535"/>
      <c r="C11" s="135">
        <f>'[21]M2022 BLS SALARY CHART (53_PCT)'!C41</f>
        <v>0.12</v>
      </c>
      <c r="D11" s="534"/>
      <c r="F11" s="544"/>
      <c r="G11" s="560"/>
      <c r="H11" s="561"/>
      <c r="I11" s="562"/>
      <c r="J11"/>
      <c r="K11" s="544"/>
      <c r="L11" s="560"/>
      <c r="M11" s="561"/>
      <c r="N11" s="562"/>
      <c r="O11"/>
      <c r="P11"/>
      <c r="Q11"/>
      <c r="R11"/>
      <c r="S11"/>
    </row>
    <row r="12" spans="1:19" x14ac:dyDescent="0.25">
      <c r="A12" s="524" t="s">
        <v>399</v>
      </c>
      <c r="B12" s="535"/>
      <c r="C12" s="536">
        <f>'[21]M2022 BLS SALARY CHART (53_PCT)'!C18*('[21]M2022 BLS SALARY CHART (53_PCT)'!C42+1)*0.4</f>
        <v>33073.086349606077</v>
      </c>
      <c r="D12" s="527" t="s">
        <v>400</v>
      </c>
      <c r="F12" s="563" t="s">
        <v>11</v>
      </c>
      <c r="G12" s="564"/>
      <c r="H12" s="565">
        <f>C10</f>
        <v>0.27379999999999999</v>
      </c>
      <c r="I12" s="566">
        <f>H12*I10</f>
        <v>41329.874348006393</v>
      </c>
      <c r="J12"/>
      <c r="K12" s="563" t="s">
        <v>11</v>
      </c>
      <c r="L12" s="564"/>
      <c r="M12" s="565">
        <f>H12</f>
        <v>0.27379999999999999</v>
      </c>
      <c r="N12" s="566">
        <f>M12*N10</f>
        <v>40178.404689279996</v>
      </c>
      <c r="O12"/>
      <c r="P12"/>
      <c r="Q12"/>
      <c r="R12"/>
      <c r="S12"/>
    </row>
    <row r="13" spans="1:19" ht="30.75" thickBot="1" x14ac:dyDescent="0.3">
      <c r="A13" s="524" t="s">
        <v>453</v>
      </c>
      <c r="B13" s="121"/>
      <c r="C13" s="535">
        <f>2.96*(2.31%+1)</f>
        <v>3.0283759999999997</v>
      </c>
      <c r="D13" s="549" t="s">
        <v>401</v>
      </c>
      <c r="F13" s="567" t="s">
        <v>402</v>
      </c>
      <c r="G13" s="568"/>
      <c r="H13" s="568"/>
      <c r="I13" s="373">
        <f>I12+I10</f>
        <v>192279.01367600638</v>
      </c>
      <c r="J13"/>
      <c r="K13" s="567" t="s">
        <v>402</v>
      </c>
      <c r="L13" s="568"/>
      <c r="M13" s="568"/>
      <c r="N13" s="373">
        <f>N12+N10</f>
        <v>186922.03028928</v>
      </c>
      <c r="O13"/>
      <c r="P13"/>
      <c r="Q13"/>
      <c r="R13"/>
      <c r="S13"/>
    </row>
    <row r="14" spans="1:19" ht="16.5" thickTop="1" x14ac:dyDescent="0.25">
      <c r="A14" s="537" t="s">
        <v>403</v>
      </c>
      <c r="B14" s="538"/>
      <c r="C14" s="539">
        <v>1.4999999999999999E-2</v>
      </c>
      <c r="D14" s="550" t="s">
        <v>404</v>
      </c>
      <c r="F14" s="544" t="str">
        <f>A14</f>
        <v>Misc FC Specific expenses</v>
      </c>
      <c r="G14"/>
      <c r="H14" s="569">
        <f>C14</f>
        <v>1.4999999999999999E-2</v>
      </c>
      <c r="I14" s="570">
        <f>I13*H14</f>
        <v>2884.1852051400956</v>
      </c>
      <c r="J14"/>
      <c r="K14" s="544" t="str">
        <f>A14</f>
        <v>Misc FC Specific expenses</v>
      </c>
      <c r="L14" s="63"/>
      <c r="M14" s="569">
        <f>C14</f>
        <v>1.4999999999999999E-2</v>
      </c>
      <c r="N14" s="571">
        <f>(N13+N15)*M14</f>
        <v>3299.926749583291</v>
      </c>
      <c r="O14"/>
      <c r="P14"/>
      <c r="Q14"/>
      <c r="R14"/>
      <c r="S14"/>
    </row>
    <row r="15" spans="1:19" x14ac:dyDescent="0.25">
      <c r="A15" s="540" t="s">
        <v>405</v>
      </c>
      <c r="B15" s="541"/>
      <c r="C15" s="542">
        <f>'[21]M2022 BLS SALARY CHART (53_PCT)'!C42</f>
        <v>2.5758086673353865E-2</v>
      </c>
      <c r="D15" s="543" t="s">
        <v>406</v>
      </c>
      <c r="F15" s="544" t="s">
        <v>222</v>
      </c>
      <c r="G15"/>
      <c r="H15" s="569">
        <v>0.12</v>
      </c>
      <c r="I15" s="570">
        <f>H15*I13</f>
        <v>23073.481641120765</v>
      </c>
      <c r="J15"/>
      <c r="K15" s="544" t="s">
        <v>399</v>
      </c>
      <c r="L15" s="63"/>
      <c r="M15" s="63"/>
      <c r="N15" s="571">
        <f>C12</f>
        <v>33073.086349606077</v>
      </c>
      <c r="O15"/>
      <c r="P15"/>
      <c r="Q15"/>
      <c r="R15"/>
      <c r="S15"/>
    </row>
    <row r="16" spans="1:19" x14ac:dyDescent="0.25">
      <c r="A16" s="544"/>
      <c r="B16" s="545" t="s">
        <v>407</v>
      </c>
      <c r="C16" s="545" t="s">
        <v>408</v>
      </c>
      <c r="D16" s="546"/>
      <c r="F16" s="544" t="s">
        <v>409</v>
      </c>
      <c r="G16"/>
      <c r="H16" s="572">
        <f>C13</f>
        <v>3.0283759999999997</v>
      </c>
      <c r="I16" s="570">
        <f>H16*I3</f>
        <v>8842.8579199999986</v>
      </c>
      <c r="J16"/>
      <c r="K16" s="544" t="s">
        <v>222</v>
      </c>
      <c r="L16"/>
      <c r="M16" s="569">
        <v>0.12</v>
      </c>
      <c r="N16" s="570">
        <f>(N13+N15)*M16</f>
        <v>26399.413996666328</v>
      </c>
      <c r="O16"/>
      <c r="P16"/>
      <c r="Q16"/>
      <c r="R16"/>
      <c r="S16"/>
    </row>
    <row r="17" spans="1:19" ht="30.75" thickBot="1" x14ac:dyDescent="0.3">
      <c r="A17" s="508" t="s">
        <v>410</v>
      </c>
      <c r="B17" s="547">
        <v>30.72</v>
      </c>
      <c r="C17" s="548">
        <v>36.79</v>
      </c>
      <c r="D17" s="551" t="s">
        <v>411</v>
      </c>
      <c r="F17" s="544"/>
      <c r="G17"/>
      <c r="H17"/>
      <c r="I17" s="546"/>
      <c r="J17"/>
      <c r="K17" s="544" t="s">
        <v>409</v>
      </c>
      <c r="L17"/>
      <c r="M17" s="572">
        <f>C13</f>
        <v>3.0283759999999997</v>
      </c>
      <c r="N17" s="570">
        <f>M17*N3</f>
        <v>5526.7861999999996</v>
      </c>
      <c r="O17"/>
      <c r="P17"/>
      <c r="Q17"/>
      <c r="R17"/>
      <c r="S17"/>
    </row>
    <row r="18" spans="1:19" ht="16.5" thickBot="1" x14ac:dyDescent="0.3">
      <c r="A18" s="348"/>
      <c r="B18" s="349"/>
      <c r="C18" s="350"/>
      <c r="D18" s="349"/>
      <c r="F18" s="573" t="s">
        <v>412</v>
      </c>
      <c r="G18" s="574"/>
      <c r="H18" s="574"/>
      <c r="I18" s="575">
        <f>SUM(I13:I17)</f>
        <v>227079.53844226725</v>
      </c>
      <c r="J18"/>
      <c r="K18" s="573" t="s">
        <v>412</v>
      </c>
      <c r="L18" s="574"/>
      <c r="M18" s="574"/>
      <c r="N18" s="575">
        <f>N17+N16+N15+N13+N14</f>
        <v>255221.2435851357</v>
      </c>
      <c r="O18"/>
      <c r="P18"/>
      <c r="Q18"/>
      <c r="R18"/>
      <c r="S18"/>
    </row>
    <row r="19" spans="1:19" ht="16.5" thickTop="1" x14ac:dyDescent="0.25">
      <c r="A19" s="349"/>
      <c r="B19" s="349"/>
      <c r="C19" s="354"/>
      <c r="D19" s="349"/>
      <c r="F19" s="544" t="s">
        <v>413</v>
      </c>
      <c r="G19" s="576"/>
      <c r="H19" s="569">
        <f>'[21]M2022 BLS SALARY CHART (53_PCT)'!C42</f>
        <v>2.5758086673353865E-2</v>
      </c>
      <c r="I19" s="571">
        <f>(I13+I16)*H19</f>
        <v>5180.5146004770795</v>
      </c>
      <c r="J19"/>
      <c r="K19" s="577" t="s">
        <v>413</v>
      </c>
      <c r="L19" s="63"/>
      <c r="M19" s="569">
        <f>H19</f>
        <v>2.5758086673353865E-2</v>
      </c>
      <c r="N19" s="562">
        <f>(N13+N15+N17)*M19</f>
        <v>5809.0127200637162</v>
      </c>
      <c r="O19"/>
      <c r="P19"/>
      <c r="Q19"/>
      <c r="R19"/>
      <c r="S19"/>
    </row>
    <row r="20" spans="1:19" ht="16.5" thickBot="1" x14ac:dyDescent="0.3">
      <c r="C20" s="356"/>
      <c r="F20" s="578" t="s">
        <v>414</v>
      </c>
      <c r="G20" s="579"/>
      <c r="H20" s="579"/>
      <c r="I20" s="374">
        <f>(I18+I19)/I3</f>
        <v>79.541114055734369</v>
      </c>
      <c r="J20"/>
      <c r="K20" s="580" t="s">
        <v>414</v>
      </c>
      <c r="L20" s="581"/>
      <c r="M20" s="582"/>
      <c r="N20" s="374">
        <f>(N18+N19)/N3</f>
        <v>143.03027742750652</v>
      </c>
      <c r="O20"/>
      <c r="P20"/>
      <c r="Q20"/>
      <c r="R20"/>
      <c r="S20"/>
    </row>
    <row r="21" spans="1:19" x14ac:dyDescent="0.25">
      <c r="C21" s="356"/>
      <c r="F21"/>
      <c r="G21" s="569"/>
      <c r="H21" s="569" t="s">
        <v>407</v>
      </c>
      <c r="I21" s="583">
        <f>'[22]IFC &amp; Enhanced FC'!$I$19</f>
        <v>65.054503271066366</v>
      </c>
      <c r="J21"/>
      <c r="K21" s="178"/>
      <c r="L21" s="584"/>
      <c r="M21" s="43" t="s">
        <v>407</v>
      </c>
      <c r="N21" s="583">
        <f>'[22]IFC &amp; Enhanced FC'!$N$19</f>
        <v>115.77359196018502</v>
      </c>
      <c r="O21"/>
      <c r="P21"/>
      <c r="Q21"/>
      <c r="R21"/>
      <c r="S21"/>
    </row>
    <row r="22" spans="1:19" ht="16.5" thickBot="1" x14ac:dyDescent="0.3">
      <c r="F22" s="371"/>
      <c r="G22" s="371"/>
      <c r="H22" s="371"/>
      <c r="I22" s="585">
        <f>(I20-I21)/I21</f>
        <v>0.22268421179554324</v>
      </c>
      <c r="J22"/>
      <c r="K22" s="585"/>
      <c r="L22" s="585"/>
      <c r="M22" s="585"/>
      <c r="N22" s="585">
        <f>(N20-N21)/N21</f>
        <v>0.23543093900632522</v>
      </c>
      <c r="O22"/>
      <c r="P22"/>
      <c r="Q22"/>
      <c r="R22"/>
      <c r="S22"/>
    </row>
    <row r="23" spans="1:19" ht="16.5" thickBot="1" x14ac:dyDescent="0.3">
      <c r="F23" s="1229" t="s">
        <v>415</v>
      </c>
      <c r="G23" s="1230"/>
      <c r="H23" s="1230"/>
      <c r="I23" s="1231"/>
      <c r="J23"/>
      <c r="K23" s="1229" t="s">
        <v>416</v>
      </c>
      <c r="L23" s="1230"/>
      <c r="M23" s="1231"/>
      <c r="N23"/>
      <c r="O23"/>
      <c r="P23"/>
      <c r="Q23"/>
      <c r="R23"/>
      <c r="S23"/>
    </row>
    <row r="24" spans="1:19" x14ac:dyDescent="0.25">
      <c r="F24" s="1235"/>
      <c r="G24" s="1236"/>
      <c r="H24" s="586" t="s">
        <v>417</v>
      </c>
      <c r="I24" s="587" t="s">
        <v>418</v>
      </c>
      <c r="J24"/>
      <c r="K24" s="588"/>
      <c r="L24" s="586" t="s">
        <v>417</v>
      </c>
      <c r="M24" s="587" t="s">
        <v>418</v>
      </c>
      <c r="N24"/>
      <c r="O24"/>
      <c r="P24"/>
      <c r="Q24"/>
      <c r="R24"/>
      <c r="S24"/>
    </row>
    <row r="25" spans="1:19" x14ac:dyDescent="0.25">
      <c r="F25" s="1237" t="s">
        <v>419</v>
      </c>
      <c r="G25" s="1238"/>
      <c r="H25" s="621">
        <v>30.72</v>
      </c>
      <c r="I25" s="590">
        <f>C17</f>
        <v>36.79</v>
      </c>
      <c r="J25" s="307">
        <f>(I25-H25)/H25</f>
        <v>0.19759114583333334</v>
      </c>
      <c r="K25" s="591" t="s">
        <v>420</v>
      </c>
      <c r="L25" s="609">
        <v>30.72</v>
      </c>
      <c r="M25" s="592">
        <f>I25</f>
        <v>36.79</v>
      </c>
      <c r="N25" s="307">
        <f>(M25-L25)/L25</f>
        <v>0.19759114583333334</v>
      </c>
      <c r="O25"/>
      <c r="P25"/>
      <c r="Q25"/>
      <c r="R25"/>
      <c r="S25"/>
    </row>
    <row r="26" spans="1:19" x14ac:dyDescent="0.25">
      <c r="F26" s="1237" t="s">
        <v>421</v>
      </c>
      <c r="G26" s="1238"/>
      <c r="H26" s="621">
        <v>35.64402455265386</v>
      </c>
      <c r="I26" s="590">
        <f>H26*(C15+1)</f>
        <v>36.562146426468267</v>
      </c>
      <c r="J26" s="307">
        <f t="shared" ref="J26:J40" si="3">(I26-H26)/H26</f>
        <v>2.5758086673353737E-2</v>
      </c>
      <c r="K26" s="593" t="s">
        <v>421</v>
      </c>
      <c r="L26" s="609">
        <v>68.924739785082977</v>
      </c>
      <c r="M26" s="592">
        <f>L26*(C15+1)</f>
        <v>70.7001092064055</v>
      </c>
      <c r="N26" s="307">
        <f t="shared" ref="N26:N43" si="4">(M26-L26)/L26</f>
        <v>2.5758086673353782E-2</v>
      </c>
      <c r="O26"/>
      <c r="P26"/>
      <c r="Q26"/>
      <c r="R26"/>
      <c r="S26"/>
    </row>
    <row r="27" spans="1:19" ht="16.5" thickBot="1" x14ac:dyDescent="0.3">
      <c r="F27" s="1239" t="s">
        <v>422</v>
      </c>
      <c r="G27" s="1240"/>
      <c r="H27" s="594">
        <v>66.364024552653859</v>
      </c>
      <c r="I27" s="595">
        <f>SUM(I25:I26)</f>
        <v>73.352146426468266</v>
      </c>
      <c r="J27" s="307">
        <f t="shared" si="3"/>
        <v>0.10529985064829761</v>
      </c>
      <c r="K27" s="121" t="s">
        <v>9</v>
      </c>
      <c r="L27" s="596">
        <v>99.644739785082976</v>
      </c>
      <c r="M27" s="597">
        <f>M26+M25</f>
        <v>107.49010920640549</v>
      </c>
      <c r="N27" s="307">
        <f t="shared" si="4"/>
        <v>7.8733402668757682E-2</v>
      </c>
      <c r="O27"/>
      <c r="P27"/>
      <c r="Q27"/>
      <c r="R27"/>
      <c r="S27"/>
    </row>
    <row r="28" spans="1:19" ht="16.5" thickBot="1" x14ac:dyDescent="0.3">
      <c r="F28"/>
      <c r="G28"/>
      <c r="H28"/>
      <c r="I28" s="307"/>
      <c r="J28" s="307"/>
      <c r="K28"/>
      <c r="L28"/>
      <c r="M28"/>
      <c r="N28" s="307"/>
      <c r="O28"/>
      <c r="P28"/>
      <c r="Q28"/>
      <c r="R28"/>
      <c r="S28"/>
    </row>
    <row r="29" spans="1:19" ht="16.5" thickBot="1" x14ac:dyDescent="0.3">
      <c r="F29" s="1241" t="s">
        <v>423</v>
      </c>
      <c r="G29" s="1242"/>
      <c r="H29" s="1242"/>
      <c r="I29" s="1243"/>
      <c r="J29" s="307"/>
      <c r="K29" s="1216" t="s">
        <v>488</v>
      </c>
      <c r="L29" s="1217"/>
      <c r="M29" s="1218"/>
      <c r="N29" s="307"/>
      <c r="O29"/>
      <c r="P29"/>
      <c r="Q29"/>
      <c r="R29"/>
      <c r="S29"/>
    </row>
    <row r="30" spans="1:19" x14ac:dyDescent="0.25">
      <c r="F30" s="588"/>
      <c r="G30" s="193"/>
      <c r="H30" s="586" t="s">
        <v>417</v>
      </c>
      <c r="I30" s="587" t="s">
        <v>418</v>
      </c>
      <c r="J30" s="307"/>
      <c r="K30" s="598"/>
      <c r="L30" s="599" t="s">
        <v>417</v>
      </c>
      <c r="M30" s="600" t="s">
        <v>418</v>
      </c>
      <c r="N30" s="307"/>
      <c r="O30"/>
      <c r="P30"/>
      <c r="Q30"/>
      <c r="R30"/>
      <c r="S30"/>
    </row>
    <row r="31" spans="1:19" ht="15.6" customHeight="1" thickBot="1" x14ac:dyDescent="0.3">
      <c r="F31" s="1244" t="s">
        <v>419</v>
      </c>
      <c r="G31" s="1245"/>
      <c r="H31" s="609">
        <v>30.72</v>
      </c>
      <c r="I31" s="590">
        <f>C17</f>
        <v>36.79</v>
      </c>
      <c r="J31" s="307">
        <f t="shared" si="3"/>
        <v>0.19759114583333334</v>
      </c>
      <c r="K31" s="602" t="s">
        <v>424</v>
      </c>
      <c r="L31" s="603">
        <v>73.800163527418988</v>
      </c>
      <c r="M31" s="604">
        <f>L31*(I22+1)</f>
        <v>90.234294772904477</v>
      </c>
      <c r="N31" s="307">
        <f t="shared" si="4"/>
        <v>0.22268421179554315</v>
      </c>
      <c r="O31"/>
      <c r="P31"/>
      <c r="Q31"/>
      <c r="R31"/>
      <c r="S31"/>
    </row>
    <row r="32" spans="1:19" x14ac:dyDescent="0.25">
      <c r="F32" s="1244" t="s">
        <v>425</v>
      </c>
      <c r="G32" s="1245"/>
      <c r="H32" s="609">
        <v>11.100392261661721</v>
      </c>
      <c r="I32" s="590">
        <f>H32*(C15+1)</f>
        <v>11.38631712764583</v>
      </c>
      <c r="J32" s="307">
        <f t="shared" si="3"/>
        <v>2.5758086673353844E-2</v>
      </c>
      <c r="K32" s="1246" t="s">
        <v>489</v>
      </c>
      <c r="L32" s="1247"/>
      <c r="M32" s="1248"/>
      <c r="N32" s="307"/>
      <c r="O32"/>
      <c r="P32"/>
      <c r="Q32"/>
      <c r="R32"/>
      <c r="S32"/>
    </row>
    <row r="33" spans="6:19" x14ac:dyDescent="0.25">
      <c r="F33" s="1237" t="s">
        <v>426</v>
      </c>
      <c r="G33" s="1238"/>
      <c r="H33" s="609">
        <v>35.64402455265386</v>
      </c>
      <c r="I33" s="590">
        <f>H33*(C15+1)</f>
        <v>36.562146426468267</v>
      </c>
      <c r="J33" s="307">
        <f t="shared" si="3"/>
        <v>2.5758086673353737E-2</v>
      </c>
      <c r="K33" s="602" t="s">
        <v>427</v>
      </c>
      <c r="L33" s="603">
        <v>66.364024552653859</v>
      </c>
      <c r="M33" s="605">
        <f>I27</f>
        <v>73.352146426468266</v>
      </c>
      <c r="N33" s="307">
        <f t="shared" si="4"/>
        <v>0.10529985064829761</v>
      </c>
      <c r="O33"/>
      <c r="P33"/>
      <c r="Q33"/>
      <c r="R33"/>
      <c r="S33"/>
    </row>
    <row r="34" spans="6:19" ht="16.5" thickBot="1" x14ac:dyDescent="0.3">
      <c r="F34" s="1239" t="s">
        <v>422</v>
      </c>
      <c r="G34" s="1240"/>
      <c r="H34" s="622">
        <v>77.464416814315584</v>
      </c>
      <c r="I34" s="595">
        <f>SUM(I31:I33)</f>
        <v>84.738463554114105</v>
      </c>
      <c r="J34" s="307">
        <f t="shared" si="3"/>
        <v>9.3901781475159346E-2</v>
      </c>
      <c r="K34" s="623" t="s">
        <v>428</v>
      </c>
      <c r="L34" s="603">
        <v>30.72</v>
      </c>
      <c r="M34" s="605">
        <f>I25</f>
        <v>36.79</v>
      </c>
      <c r="N34" s="307">
        <f t="shared" si="4"/>
        <v>0.19759114583333334</v>
      </c>
      <c r="O34"/>
      <c r="P34"/>
      <c r="Q34"/>
      <c r="R34"/>
      <c r="S34"/>
    </row>
    <row r="35" spans="6:19" ht="16.5" thickBot="1" x14ac:dyDescent="0.3">
      <c r="F35"/>
      <c r="G35"/>
      <c r="H35"/>
      <c r="I35"/>
      <c r="J35" s="307"/>
      <c r="K35" s="121" t="s">
        <v>429</v>
      </c>
      <c r="L35" s="603">
        <v>97.084024552653858</v>
      </c>
      <c r="M35" s="597">
        <f>M33+M34</f>
        <v>110.14214642646826</v>
      </c>
      <c r="N35" s="307">
        <f t="shared" si="4"/>
        <v>0.13450330200034386</v>
      </c>
      <c r="O35"/>
      <c r="P35"/>
      <c r="Q35"/>
      <c r="R35"/>
      <c r="S35"/>
    </row>
    <row r="36" spans="6:19" ht="16.5" thickBot="1" x14ac:dyDescent="0.3">
      <c r="F36" s="1232" t="s">
        <v>490</v>
      </c>
      <c r="G36" s="1233"/>
      <c r="H36" s="1233"/>
      <c r="I36" s="1234"/>
      <c r="J36" s="307"/>
      <c r="K36" s="606" t="s">
        <v>430</v>
      </c>
      <c r="L36" s="596">
        <f>L31+L33+L34</f>
        <v>170.88418808007285</v>
      </c>
      <c r="M36" s="596">
        <f>M35+M31</f>
        <v>200.37644119937272</v>
      </c>
      <c r="N36" s="307">
        <f t="shared" si="4"/>
        <v>0.1725862026829563</v>
      </c>
      <c r="O36"/>
      <c r="P36"/>
      <c r="Q36"/>
      <c r="R36"/>
      <c r="S36"/>
    </row>
    <row r="37" spans="6:19" x14ac:dyDescent="0.25">
      <c r="F37" s="607"/>
      <c r="G37" s="608"/>
      <c r="H37" s="586" t="s">
        <v>417</v>
      </c>
      <c r="I37" s="587" t="s">
        <v>418</v>
      </c>
      <c r="J37" s="307"/>
      <c r="K37"/>
      <c r="L37"/>
      <c r="M37"/>
      <c r="N37" s="307"/>
      <c r="O37"/>
      <c r="P37"/>
      <c r="Q37"/>
      <c r="R37"/>
      <c r="S37"/>
    </row>
    <row r="38" spans="6:19" ht="16.5" thickBot="1" x14ac:dyDescent="0.3">
      <c r="F38" s="1244" t="str">
        <f>F25</f>
        <v xml:space="preserve">DCF Departmental Stipend </v>
      </c>
      <c r="G38" s="1245"/>
      <c r="H38" s="609">
        <v>30.72</v>
      </c>
      <c r="I38" s="610">
        <f>C17</f>
        <v>36.79</v>
      </c>
      <c r="J38" s="307">
        <f t="shared" si="3"/>
        <v>0.19759114583333334</v>
      </c>
      <c r="K38" s="127"/>
      <c r="L38" s="127"/>
      <c r="M38" s="127"/>
      <c r="N38" s="307"/>
      <c r="O38"/>
      <c r="P38"/>
      <c r="Q38"/>
      <c r="R38"/>
      <c r="S38"/>
    </row>
    <row r="39" spans="6:19" ht="16.5" thickBot="1" x14ac:dyDescent="0.3">
      <c r="F39" s="1250" t="s">
        <v>431</v>
      </c>
      <c r="G39" s="1238"/>
      <c r="H39" s="609">
        <v>8.447391697061672</v>
      </c>
      <c r="I39" s="611">
        <f>H39*(I22+1)</f>
        <v>10.328492458850066</v>
      </c>
      <c r="J39" s="307">
        <f t="shared" si="3"/>
        <v>0.22268421179554315</v>
      </c>
      <c r="K39" s="1241" t="s">
        <v>491</v>
      </c>
      <c r="L39" s="1242"/>
      <c r="M39" s="1243"/>
      <c r="N39" s="307"/>
      <c r="O39"/>
      <c r="P39"/>
      <c r="Q39"/>
      <c r="R39"/>
      <c r="S39"/>
    </row>
    <row r="40" spans="6:19" ht="15" customHeight="1" thickBot="1" x14ac:dyDescent="0.3">
      <c r="F40" s="1251" t="s">
        <v>492</v>
      </c>
      <c r="G40" s="1252"/>
      <c r="H40" s="612">
        <v>39.167391697061674</v>
      </c>
      <c r="I40" s="613">
        <f>I39+I38</f>
        <v>47.118492458850064</v>
      </c>
      <c r="J40" s="307">
        <f t="shared" si="3"/>
        <v>0.20300307008661184</v>
      </c>
      <c r="K40" s="607"/>
      <c r="L40" s="586" t="s">
        <v>417</v>
      </c>
      <c r="M40" s="587" t="s">
        <v>418</v>
      </c>
      <c r="N40" s="307"/>
      <c r="O40"/>
      <c r="P40"/>
      <c r="Q40"/>
      <c r="R40"/>
      <c r="S40"/>
    </row>
    <row r="41" spans="6:19" ht="16.5" thickBot="1" x14ac:dyDescent="0.3">
      <c r="F41"/>
      <c r="G41"/>
      <c r="H41"/>
      <c r="I41"/>
      <c r="J41" s="307"/>
      <c r="K41" s="601" t="str">
        <f>F25</f>
        <v xml:space="preserve">DCF Departmental Stipend </v>
      </c>
      <c r="L41" s="609">
        <v>30.72</v>
      </c>
      <c r="M41" s="592">
        <f>C17</f>
        <v>36.79</v>
      </c>
      <c r="N41" s="307">
        <f t="shared" si="4"/>
        <v>0.19759114583333334</v>
      </c>
      <c r="O41"/>
      <c r="P41"/>
      <c r="Q41"/>
      <c r="R41"/>
      <c r="S41"/>
    </row>
    <row r="42" spans="6:19" ht="21" customHeight="1" thickBot="1" x14ac:dyDescent="0.3">
      <c r="F42" s="1241" t="s">
        <v>432</v>
      </c>
      <c r="G42" s="1242"/>
      <c r="H42" s="1243"/>
      <c r="I42" s="127"/>
      <c r="J42" s="307"/>
      <c r="K42" s="589" t="s">
        <v>421</v>
      </c>
      <c r="L42" s="609">
        <v>61.845042600686739</v>
      </c>
      <c r="M42" s="592">
        <f>L42*(C15+1)</f>
        <v>63.438052568312486</v>
      </c>
      <c r="N42" s="307">
        <f t="shared" si="4"/>
        <v>2.5758086673353799E-2</v>
      </c>
      <c r="O42"/>
      <c r="P42"/>
      <c r="Q42"/>
      <c r="R42"/>
      <c r="S42"/>
    </row>
    <row r="43" spans="6:19" ht="16.5" thickBot="1" x14ac:dyDescent="0.3">
      <c r="F43" s="614"/>
      <c r="G43" s="586" t="s">
        <v>417</v>
      </c>
      <c r="H43" s="587" t="s">
        <v>418</v>
      </c>
      <c r="I43" s="127"/>
      <c r="J43" s="307"/>
      <c r="K43" s="615"/>
      <c r="L43" s="612">
        <v>92.565042600686738</v>
      </c>
      <c r="M43" s="616">
        <f>M42+M41</f>
        <v>100.22805256831248</v>
      </c>
      <c r="N43" s="307">
        <f t="shared" si="4"/>
        <v>8.2785139533537999E-2</v>
      </c>
      <c r="O43"/>
      <c r="P43"/>
      <c r="Q43"/>
      <c r="R43"/>
      <c r="S43"/>
    </row>
    <row r="44" spans="6:19" x14ac:dyDescent="0.25">
      <c r="F44" s="617" t="s">
        <v>433</v>
      </c>
      <c r="G44" s="618">
        <v>30.72</v>
      </c>
      <c r="H44" s="610">
        <f>C17</f>
        <v>36.79</v>
      </c>
      <c r="I44" s="127"/>
      <c r="J44" s="307">
        <f>(H44-G44)/G44</f>
        <v>0.19759114583333334</v>
      </c>
      <c r="K44"/>
      <c r="L44"/>
      <c r="M44"/>
      <c r="N44"/>
      <c r="O44"/>
      <c r="P44"/>
      <c r="Q44"/>
      <c r="R44"/>
      <c r="S44"/>
    </row>
    <row r="45" spans="6:19" ht="15" customHeight="1" thickBot="1" x14ac:dyDescent="0.3">
      <c r="F45" s="1253"/>
      <c r="G45" s="1254"/>
      <c r="H45" s="619">
        <f>H44</f>
        <v>36.79</v>
      </c>
      <c r="I45" s="127"/>
      <c r="J45" s="307"/>
      <c r="K45"/>
      <c r="L45"/>
      <c r="M45"/>
      <c r="N45"/>
      <c r="O45"/>
      <c r="P45"/>
      <c r="Q45"/>
      <c r="R45"/>
      <c r="S45"/>
    </row>
    <row r="46" spans="6:19" ht="16.350000000000001" customHeight="1" thickBot="1" x14ac:dyDescent="0.3">
      <c r="F46" s="127"/>
      <c r="G46" s="127"/>
      <c r="H46" s="127"/>
      <c r="I46" s="127"/>
      <c r="J46" s="127"/>
      <c r="K46" s="1241" t="s">
        <v>493</v>
      </c>
      <c r="L46" s="1242"/>
      <c r="M46" s="1243"/>
      <c r="N46" s="1249"/>
      <c r="O46" s="1249"/>
      <c r="P46" s="1249"/>
      <c r="Q46" s="1249"/>
      <c r="R46" s="1249"/>
      <c r="S46" s="1249"/>
    </row>
    <row r="47" spans="6:19" ht="16.5" thickBot="1" x14ac:dyDescent="0.3">
      <c r="F47" s="127"/>
      <c r="G47" s="127"/>
      <c r="H47" s="127"/>
      <c r="I47" s="127"/>
      <c r="J47" s="127"/>
      <c r="K47" s="620" t="s">
        <v>434</v>
      </c>
      <c r="L47" s="609">
        <v>67.142383186103046</v>
      </c>
      <c r="M47" s="604">
        <f>L47*(I22+1)</f>
        <v>82.093931863974731</v>
      </c>
      <c r="N47" s="1249"/>
      <c r="O47" s="1249"/>
      <c r="P47" s="1249"/>
      <c r="Q47" s="1249"/>
      <c r="R47" s="1249"/>
      <c r="S47" s="1249"/>
    </row>
    <row r="48" spans="6:19" x14ac:dyDescent="0.25">
      <c r="F48" s="127"/>
      <c r="G48" s="127"/>
      <c r="H48" s="127"/>
      <c r="I48"/>
      <c r="J48"/>
      <c r="K48"/>
      <c r="L48"/>
      <c r="M48"/>
      <c r="N48" s="1249"/>
      <c r="O48" s="1249"/>
      <c r="P48" s="1249"/>
      <c r="Q48" s="1249"/>
      <c r="R48" s="1249"/>
      <c r="S48" s="1249"/>
    </row>
    <row r="49" spans="6:8" x14ac:dyDescent="0.25">
      <c r="F49" s="362"/>
      <c r="G49" s="362"/>
      <c r="H49" s="362"/>
    </row>
  </sheetData>
  <mergeCells count="27">
    <mergeCell ref="K32:M32"/>
    <mergeCell ref="F33:G33"/>
    <mergeCell ref="F34:G34"/>
    <mergeCell ref="K46:M46"/>
    <mergeCell ref="N46:S48"/>
    <mergeCell ref="F38:G38"/>
    <mergeCell ref="F39:G39"/>
    <mergeCell ref="K39:M39"/>
    <mergeCell ref="F40:G40"/>
    <mergeCell ref="F42:H42"/>
    <mergeCell ref="F45:G45"/>
    <mergeCell ref="F36:I36"/>
    <mergeCell ref="F24:G24"/>
    <mergeCell ref="F25:G25"/>
    <mergeCell ref="F26:G26"/>
    <mergeCell ref="F27:G27"/>
    <mergeCell ref="F29:I29"/>
    <mergeCell ref="F31:G31"/>
    <mergeCell ref="F32:G32"/>
    <mergeCell ref="K29:M29"/>
    <mergeCell ref="A2:D2"/>
    <mergeCell ref="F2:I2"/>
    <mergeCell ref="K2:N2"/>
    <mergeCell ref="A3:C3"/>
    <mergeCell ref="A9:C9"/>
    <mergeCell ref="F23:I23"/>
    <mergeCell ref="K23:M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89CEC-0FF1-4E3D-A85B-4628A2B86591}">
  <dimension ref="A2:R66"/>
  <sheetViews>
    <sheetView tabSelected="1" topLeftCell="B7" zoomScale="80" zoomScaleNormal="80" workbookViewId="0">
      <selection activeCell="I68" sqref="I68"/>
    </sheetView>
  </sheetViews>
  <sheetFormatPr defaultRowHeight="15" x14ac:dyDescent="0.25"/>
  <cols>
    <col min="1" max="1" width="0" hidden="1" customWidth="1"/>
    <col min="3" max="3" width="28.42578125" customWidth="1"/>
    <col min="4" max="4" width="13.42578125" bestFit="1" customWidth="1"/>
    <col min="5" max="5" width="12.42578125" customWidth="1"/>
    <col min="6" max="6" width="14.85546875" customWidth="1"/>
    <col min="7" max="7" width="8.85546875" bestFit="1" customWidth="1"/>
    <col min="8" max="8" width="10.5703125" bestFit="1" customWidth="1"/>
    <col min="9" max="9" width="26.7109375" bestFit="1" customWidth="1"/>
    <col min="10" max="10" width="13.42578125" bestFit="1" customWidth="1"/>
    <col min="11" max="11" width="12.85546875" bestFit="1" customWidth="1"/>
    <col min="12" max="12" width="14.7109375" customWidth="1"/>
    <col min="15" max="15" width="26.7109375" bestFit="1" customWidth="1"/>
    <col min="16" max="16" width="13.42578125" bestFit="1" customWidth="1"/>
    <col min="17" max="17" width="12.85546875" bestFit="1" customWidth="1"/>
    <col min="18" max="18" width="14.28515625" customWidth="1"/>
  </cols>
  <sheetData>
    <row r="2" spans="1:18" x14ac:dyDescent="0.25">
      <c r="C2" s="1261" t="s">
        <v>0</v>
      </c>
      <c r="D2" s="1261"/>
      <c r="E2" s="1261"/>
      <c r="F2" s="1261"/>
      <c r="G2" s="1"/>
      <c r="I2" s="1261" t="s">
        <v>1</v>
      </c>
      <c r="J2" s="1261"/>
      <c r="K2" s="1261"/>
      <c r="L2" s="1261"/>
      <c r="O2" s="1261" t="s">
        <v>2</v>
      </c>
      <c r="P2" s="1261"/>
      <c r="Q2" s="1261"/>
      <c r="R2" s="1261"/>
    </row>
    <row r="3" spans="1:18" x14ac:dyDescent="0.25">
      <c r="C3" s="1262" t="s">
        <v>3</v>
      </c>
      <c r="D3" s="1263"/>
      <c r="E3" s="1263"/>
      <c r="F3" s="1264"/>
      <c r="G3" s="1"/>
      <c r="I3" s="1262" t="s">
        <v>3</v>
      </c>
      <c r="J3" s="1263"/>
      <c r="K3" s="1263"/>
      <c r="L3" s="1264"/>
      <c r="O3" s="1262" t="s">
        <v>3</v>
      </c>
      <c r="P3" s="1263"/>
      <c r="Q3" s="1263"/>
      <c r="R3" s="1264"/>
    </row>
    <row r="4" spans="1:18" x14ac:dyDescent="0.25">
      <c r="C4" s="2" t="s">
        <v>4</v>
      </c>
      <c r="D4" s="3">
        <v>15</v>
      </c>
      <c r="E4" s="4" t="s">
        <v>5</v>
      </c>
      <c r="F4" s="5">
        <f>D4*365</f>
        <v>5475</v>
      </c>
      <c r="G4" s="6"/>
      <c r="I4" s="2" t="s">
        <v>4</v>
      </c>
      <c r="J4" s="3">
        <v>11</v>
      </c>
      <c r="K4" s="4" t="s">
        <v>5</v>
      </c>
      <c r="L4" s="5">
        <f>J4*365</f>
        <v>4015</v>
      </c>
      <c r="O4" s="2" t="s">
        <v>4</v>
      </c>
      <c r="P4" s="3">
        <v>8</v>
      </c>
      <c r="Q4" s="4" t="s">
        <v>5</v>
      </c>
      <c r="R4" s="5">
        <f>P4*365</f>
        <v>2920</v>
      </c>
    </row>
    <row r="5" spans="1:18" x14ac:dyDescent="0.25">
      <c r="C5" s="7"/>
      <c r="D5" s="8" t="s">
        <v>6</v>
      </c>
      <c r="E5" s="8"/>
      <c r="F5" s="9"/>
      <c r="G5" s="6"/>
      <c r="I5" s="7"/>
      <c r="J5" s="8" t="s">
        <v>6</v>
      </c>
      <c r="K5" s="8"/>
      <c r="L5" s="9"/>
      <c r="O5" s="7"/>
      <c r="P5" s="8" t="s">
        <v>6</v>
      </c>
      <c r="Q5" s="8"/>
      <c r="R5" s="9"/>
    </row>
    <row r="6" spans="1:18" x14ac:dyDescent="0.25">
      <c r="C6" s="10"/>
      <c r="D6" s="11" t="s">
        <v>7</v>
      </c>
      <c r="E6" s="11" t="s">
        <v>8</v>
      </c>
      <c r="F6" s="12" t="s">
        <v>9</v>
      </c>
      <c r="G6" s="6"/>
      <c r="I6" s="10"/>
      <c r="J6" s="11" t="s">
        <v>7</v>
      </c>
      <c r="K6" s="11" t="s">
        <v>8</v>
      </c>
      <c r="L6" s="12" t="s">
        <v>9</v>
      </c>
      <c r="O6" s="10"/>
      <c r="P6" s="11" t="s">
        <v>7</v>
      </c>
      <c r="Q6" s="11" t="s">
        <v>8</v>
      </c>
      <c r="R6" s="12" t="s">
        <v>9</v>
      </c>
    </row>
    <row r="7" spans="1:18" x14ac:dyDescent="0.25">
      <c r="A7">
        <v>1</v>
      </c>
      <c r="C7" s="13" t="str">
        <f>IF(INDEX('[23]Master Data'!$B$4:$B$18,A7)=0," ",INDEX('[23]Master Data'!$B$4:$B$18,A7))</f>
        <v>Program Director</v>
      </c>
      <c r="D7" s="14">
        <f>IFERROR(INDEX('[23]Master Data'!$D$4:$D$18,MATCH(C7,'[23]Master Data'!$B$4:$B$18,0)),0)</f>
        <v>79415.232000000018</v>
      </c>
      <c r="E7" s="15">
        <f>IFERROR(INDEX('[23]Master Data'!$E$4:$E$18,MATCH(C7,'[23]Master Data'!$B$4:$B$18,0)),0)</f>
        <v>0.55000000000000004</v>
      </c>
      <c r="F7" s="16">
        <f>D7*E7</f>
        <v>43678.377600000014</v>
      </c>
      <c r="G7" s="6"/>
      <c r="I7" s="13" t="str">
        <f>IF(INDEX('[23]Master Data'!$B$4:$B$18,A7)=0," ",INDEX('[23]Master Data'!$B$4:$B$18,A7))</f>
        <v>Program Director</v>
      </c>
      <c r="J7" s="14">
        <f>IFERROR(INDEX('[23]Master Data'!$D$4:$D$18,MATCH(I7,'[23]Master Data'!$B$4:$B$18,0)),0)</f>
        <v>79415.232000000018</v>
      </c>
      <c r="K7" s="15">
        <f>IFERROR(INDEX('[23]Master Data'!$F$4:$F$18,MATCH(I7,'[23]Master Data'!$B$4:$B$18,0)),0)</f>
        <v>0.8</v>
      </c>
      <c r="L7" s="16">
        <f>J7*K7</f>
        <v>63532.185600000019</v>
      </c>
      <c r="O7" s="13" t="str">
        <f>IF(INDEX('[23]Master Data'!$B$4:$B$18,A7)=0," ",INDEX('[23]Master Data'!$B$4:$B$18,A7))</f>
        <v>Program Director</v>
      </c>
      <c r="P7" s="14">
        <f>IFERROR(INDEX('[23]Master Data'!$D$4:$D$18,MATCH(O7,'[23]Master Data'!$B$4:$B$18,0)),0)</f>
        <v>79415.232000000018</v>
      </c>
      <c r="Q7" s="15">
        <f>IFERROR(INDEX('[23]Master Data'!$G$4:$G$18,MATCH(O7,'[23]Master Data'!$B$4:$B$18,0)),0)</f>
        <v>1</v>
      </c>
      <c r="R7" s="16">
        <f>P7*Q7</f>
        <v>79415.232000000018</v>
      </c>
    </row>
    <row r="8" spans="1:18" x14ac:dyDescent="0.25">
      <c r="A8">
        <v>2</v>
      </c>
      <c r="C8" s="13" t="str">
        <f>IF(INDEX('[23]Master Data'!$B$4:$B$18,A8)=0," ",INDEX('[23]Master Data'!$B$4:$B$18,A8))</f>
        <v>Case worker</v>
      </c>
      <c r="D8" s="14">
        <f>IFERROR(INDEX('[23]Master Data'!$D$4:$D$18,MATCH(C8,'[23]Master Data'!$B$4:$B$18,0)),0)</f>
        <v>58616.063999999998</v>
      </c>
      <c r="E8" s="15">
        <f>IFERROR(INDEX('[23]Master Data'!$E$4:$E$18,MATCH(C8,'[23]Master Data'!$B$4:$B$18,0)),0)</f>
        <v>1</v>
      </c>
      <c r="F8" s="16">
        <f t="shared" ref="F8:F21" si="0">D8*E8</f>
        <v>58616.063999999998</v>
      </c>
      <c r="G8" s="6"/>
      <c r="I8" s="13" t="str">
        <f>IF(INDEX('[23]Master Data'!$B$4:$B$18,A8)=0," ",INDEX('[23]Master Data'!$B$4:$B$18,A8))</f>
        <v>Case worker</v>
      </c>
      <c r="J8" s="14">
        <f>IFERROR(INDEX('[23]Master Data'!$D$4:$D$18,MATCH(I8,'[23]Master Data'!$B$4:$B$18,0)),0)</f>
        <v>58616.063999999998</v>
      </c>
      <c r="K8" s="15">
        <f>IFERROR(INDEX('[23]Master Data'!$F$4:$F$18,MATCH(I8,'[23]Master Data'!$B$4:$B$18,0)),0)</f>
        <v>1</v>
      </c>
      <c r="L8" s="16">
        <f t="shared" ref="L8:L21" si="1">J8*K8</f>
        <v>58616.063999999998</v>
      </c>
      <c r="O8" s="13" t="str">
        <f>IF(INDEX('[23]Master Data'!$B$4:$B$18,A8)=0," ",INDEX('[23]Master Data'!$B$4:$B$18,A8))</f>
        <v>Case worker</v>
      </c>
      <c r="P8" s="14">
        <f>IFERROR(INDEX('[23]Master Data'!$D$4:$D$18,MATCH(O8,'[23]Master Data'!$B$4:$B$18,0)),0)</f>
        <v>58616.063999999998</v>
      </c>
      <c r="Q8" s="15">
        <f>IFERROR(INDEX('[23]Master Data'!$G$4:$G$18,MATCH(O8,'[23]Master Data'!$B$4:$B$18,0)),0)</f>
        <v>1</v>
      </c>
      <c r="R8" s="16">
        <f t="shared" ref="R8:R21" si="2">P8*Q8</f>
        <v>58616.063999999998</v>
      </c>
    </row>
    <row r="9" spans="1:18" x14ac:dyDescent="0.25">
      <c r="A9">
        <v>3</v>
      </c>
      <c r="C9" s="13" t="str">
        <f>IF(INDEX('[23]Master Data'!$B$4:$B$18,A9)=0," ",INDEX('[23]Master Data'!$B$4:$B$18,A9))</f>
        <v>Placement Specialist</v>
      </c>
      <c r="D9" s="14">
        <f>IFERROR(INDEX('[23]Master Data'!$D$4:$D$18,MATCH(C9,'[23]Master Data'!$B$4:$B$18,0)),0)</f>
        <v>64330.864000000001</v>
      </c>
      <c r="E9" s="15">
        <f>IFERROR(INDEX('[23]Master Data'!$E$4:$E$18,MATCH(C9,'[23]Master Data'!$B$4:$B$18,0)),0)</f>
        <v>0.5</v>
      </c>
      <c r="F9" s="16">
        <f t="shared" si="0"/>
        <v>32165.432000000001</v>
      </c>
      <c r="G9" s="6"/>
      <c r="I9" s="13" t="str">
        <f>IF(INDEX('[23]Master Data'!$B$4:$B$18,A9)=0," ",INDEX('[23]Master Data'!$B$4:$B$18,A9))</f>
        <v>Placement Specialist</v>
      </c>
      <c r="J9" s="14">
        <f>IFERROR(INDEX('[23]Master Data'!$D$4:$D$18,MATCH(I9,'[23]Master Data'!$B$4:$B$18,0)),0)</f>
        <v>64330.864000000001</v>
      </c>
      <c r="K9" s="15">
        <f>IFERROR(INDEX('[23]Master Data'!$F$4:$F$18,MATCH(I9,'[23]Master Data'!$B$4:$B$18,0)),0)</f>
        <v>0.5</v>
      </c>
      <c r="L9" s="16">
        <f t="shared" si="1"/>
        <v>32165.432000000001</v>
      </c>
      <c r="O9" s="13" t="str">
        <f>IF(INDEX('[23]Master Data'!$B$4:$B$18,A9)=0," ",INDEX('[23]Master Data'!$B$4:$B$18,A9))</f>
        <v>Placement Specialist</v>
      </c>
      <c r="P9" s="14">
        <f>IFERROR(INDEX('[23]Master Data'!$D$4:$D$18,MATCH(O9,'[23]Master Data'!$B$4:$B$18,0)),0)</f>
        <v>64330.864000000001</v>
      </c>
      <c r="Q9" s="15">
        <f>IFERROR(INDEX('[23]Master Data'!$G$4:$G$18,MATCH(O9,'[23]Master Data'!$B$4:$B$18,0)),0)</f>
        <v>0.75</v>
      </c>
      <c r="R9" s="16">
        <f t="shared" si="2"/>
        <v>48248.148000000001</v>
      </c>
    </row>
    <row r="10" spans="1:18" x14ac:dyDescent="0.25">
      <c r="A10">
        <v>4</v>
      </c>
      <c r="C10" s="13" t="str">
        <f>IF(INDEX('[23]Master Data'!$B$4:$B$18,A10)=0," ",INDEX('[23]Master Data'!$B$4:$B$18,A10))</f>
        <v>Clinician</v>
      </c>
      <c r="D10" s="14">
        <f>IFERROR(INDEX('[23]Master Data'!$D$4:$D$18,MATCH(C10,'[23]Master Data'!$B$4:$B$18,0)),0)</f>
        <v>80606.448000000004</v>
      </c>
      <c r="E10" s="15">
        <f>IFERROR(INDEX('[23]Master Data'!$E$4:$E$18,MATCH(C10,'[23]Master Data'!$B$4:$B$18,0)),0)</f>
        <v>0.2</v>
      </c>
      <c r="F10" s="16">
        <f t="shared" si="0"/>
        <v>16121.289600000002</v>
      </c>
      <c r="G10" s="6"/>
      <c r="I10" s="13" t="str">
        <f>IF(INDEX('[23]Master Data'!$B$4:$B$18,A10)=0," ",INDEX('[23]Master Data'!$B$4:$B$18,A10))</f>
        <v>Clinician</v>
      </c>
      <c r="J10" s="14">
        <f>IFERROR(INDEX('[23]Master Data'!$D$4:$D$18,MATCH(I10,'[23]Master Data'!$B$4:$B$18,0)),0)</f>
        <v>80606.448000000004</v>
      </c>
      <c r="K10" s="15">
        <f>IFERROR(INDEX('[23]Master Data'!$F$4:$F$18,MATCH(I10,'[23]Master Data'!$B$4:$B$18,0)),0)</f>
        <v>0.25</v>
      </c>
      <c r="L10" s="16">
        <f t="shared" si="1"/>
        <v>20151.612000000001</v>
      </c>
      <c r="O10" s="13" t="str">
        <f>IF(INDEX('[23]Master Data'!$B$4:$B$18,A10)=0," ",INDEX('[23]Master Data'!$B$4:$B$18,A10))</f>
        <v>Clinician</v>
      </c>
      <c r="P10" s="14">
        <f>IFERROR(INDEX('[23]Master Data'!$D$4:$D$18,MATCH(O10,'[23]Master Data'!$B$4:$B$18,0)),0)</f>
        <v>80606.448000000004</v>
      </c>
      <c r="Q10" s="15">
        <f>IFERROR(INDEX('[23]Master Data'!$G$4:$G$18,MATCH(O10,'[23]Master Data'!$B$4:$B$18,0)),0)</f>
        <v>0.35</v>
      </c>
      <c r="R10" s="16">
        <f t="shared" si="2"/>
        <v>28212.256799999999</v>
      </c>
    </row>
    <row r="11" spans="1:18" x14ac:dyDescent="0.25">
      <c r="A11">
        <v>5</v>
      </c>
      <c r="C11" s="13" t="str">
        <f>IF(INDEX('[23]Master Data'!$B$4:$B$18,A11)=0," ",INDEX('[23]Master Data'!$B$4:$B$18,A11))</f>
        <v>Nursing</v>
      </c>
      <c r="D11" s="14">
        <f>IFERROR(INDEX('[23]Master Data'!$D$4:$D$18,MATCH(C11,'[23]Master Data'!$B$4:$B$18,0)),0)</f>
        <v>102258.624</v>
      </c>
      <c r="E11" s="15">
        <f>IFERROR(INDEX('[23]Master Data'!$E$4:$E$18,MATCH(C11,'[23]Master Data'!$B$4:$B$18,0)),0)</f>
        <v>0.2</v>
      </c>
      <c r="F11" s="16">
        <f t="shared" si="0"/>
        <v>20451.7248</v>
      </c>
      <c r="G11" s="6"/>
      <c r="I11" s="13" t="str">
        <f>IF(INDEX('[23]Master Data'!$B$4:$B$18,A11)=0," ",INDEX('[23]Master Data'!$B$4:$B$18,A11))</f>
        <v>Nursing</v>
      </c>
      <c r="J11" s="14">
        <f>IFERROR(INDEX('[23]Master Data'!$D$4:$D$18,MATCH(I11,'[23]Master Data'!$B$4:$B$18,0)),0)</f>
        <v>102258.624</v>
      </c>
      <c r="K11" s="15">
        <f>IFERROR(INDEX('[23]Master Data'!$F$4:$F$18,MATCH(I11,'[23]Master Data'!$B$4:$B$18,0)),0)</f>
        <v>0.25</v>
      </c>
      <c r="L11" s="16">
        <f t="shared" si="1"/>
        <v>25564.655999999999</v>
      </c>
      <c r="O11" s="13" t="str">
        <f>IF(INDEX('[23]Master Data'!$B$4:$B$18,A11)=0," ",INDEX('[23]Master Data'!$B$4:$B$18,A11))</f>
        <v>Nursing</v>
      </c>
      <c r="P11" s="14">
        <f>IFERROR(INDEX('[23]Master Data'!$D$4:$D$18,MATCH(O11,'[23]Master Data'!$B$4:$B$18,0)),0)</f>
        <v>102258.624</v>
      </c>
      <c r="Q11" s="15">
        <f>IFERROR(INDEX('[23]Master Data'!$G$4:$G$18,MATCH(O11,'[23]Master Data'!$B$4:$B$18,0)),0)</f>
        <v>0.35</v>
      </c>
      <c r="R11" s="16">
        <f t="shared" si="2"/>
        <v>35790.518399999994</v>
      </c>
    </row>
    <row r="12" spans="1:18" hidden="1" x14ac:dyDescent="0.25">
      <c r="A12">
        <v>6</v>
      </c>
      <c r="C12" s="17" t="str">
        <f>IF(INDEX('[23]Master Data'!$B$4:$B$18,A12)=0," ",INDEX('[23]Master Data'!$B$4:$B$18,A12))</f>
        <v xml:space="preserve"> </v>
      </c>
      <c r="D12" s="14">
        <f>IFERROR(INDEX('[23]Master Data'!$D$4:$D$18,MATCH(C12,'[23]Master Data'!$B$4:$B$18,0)),0)</f>
        <v>0</v>
      </c>
      <c r="E12" s="15">
        <f>IFERROR(INDEX('[23]Master Data'!$E$4:$E$18,MATCH(C12,'[23]Master Data'!$B$4:$B$18,0)),0)</f>
        <v>0</v>
      </c>
      <c r="F12" s="16">
        <f t="shared" si="0"/>
        <v>0</v>
      </c>
      <c r="G12" s="6"/>
      <c r="I12" s="17" t="str">
        <f>IF(INDEX('[23]Master Data'!$B$4:$B$18,A12)=0," ",INDEX('[23]Master Data'!$B$4:$B$18,A12))</f>
        <v xml:space="preserve"> </v>
      </c>
      <c r="J12" s="14">
        <f>IFERROR(INDEX('[23]Master Data'!$D$4:$D$18,MATCH(I12,'[23]Master Data'!$B$4:$B$18,0)),0)</f>
        <v>0</v>
      </c>
      <c r="K12" s="15">
        <f>IFERROR(INDEX('[23]Master Data'!$F$4:$F$18,MATCH(I12,'[23]Master Data'!$B$4:$B$18,0)),0)</f>
        <v>0</v>
      </c>
      <c r="L12" s="16">
        <f t="shared" si="1"/>
        <v>0</v>
      </c>
      <c r="O12" s="17" t="str">
        <f>IF(INDEX('[23]Master Data'!$B$4:$B$18,A12)=0," ",INDEX('[23]Master Data'!$B$4:$B$18,A12))</f>
        <v xml:space="preserve"> </v>
      </c>
      <c r="P12" s="14">
        <f>IFERROR(INDEX('[23]Master Data'!$D$4:$D$18,MATCH(O12,'[23]Master Data'!$B$4:$B$18,0)),0)</f>
        <v>0</v>
      </c>
      <c r="Q12" s="15">
        <f>IFERROR(INDEX('[23]Master Data'!$G$4:$G$18,MATCH(O12,'[23]Master Data'!$B$4:$B$18,0)),0)</f>
        <v>0</v>
      </c>
      <c r="R12" s="16">
        <f t="shared" si="2"/>
        <v>0</v>
      </c>
    </row>
    <row r="13" spans="1:18" hidden="1" x14ac:dyDescent="0.25">
      <c r="A13">
        <v>7</v>
      </c>
      <c r="C13" s="17" t="str">
        <f>IF(INDEX('[23]Master Data'!$B$4:$B$18,A13)=0," ",INDEX('[23]Master Data'!$B$4:$B$18,A13))</f>
        <v xml:space="preserve"> </v>
      </c>
      <c r="D13" s="14">
        <f>IFERROR(INDEX('[23]Master Data'!$D$4:$D$18,MATCH(C13,'[23]Master Data'!$B$4:$B$18,0)),0)</f>
        <v>0</v>
      </c>
      <c r="E13" s="15">
        <f>IFERROR(INDEX('[23]Master Data'!$E$4:$E$18,MATCH(C13,'[23]Master Data'!$B$4:$B$18,0)),0)</f>
        <v>0</v>
      </c>
      <c r="F13" s="16">
        <f t="shared" si="0"/>
        <v>0</v>
      </c>
      <c r="G13" s="6"/>
      <c r="I13" s="17" t="str">
        <f>IF(INDEX('[23]Master Data'!$B$4:$B$18,A13)=0," ",INDEX('[23]Master Data'!$B$4:$B$18,A13))</f>
        <v xml:space="preserve"> </v>
      </c>
      <c r="J13" s="14">
        <f>IFERROR(INDEX('[23]Master Data'!$D$4:$D$18,MATCH(I13,'[23]Master Data'!$B$4:$B$18,0)),0)</f>
        <v>0</v>
      </c>
      <c r="K13" s="15">
        <f>IFERROR(INDEX('[23]Master Data'!$F$4:$F$18,MATCH(I13,'[23]Master Data'!$B$4:$B$18,0)),0)</f>
        <v>0</v>
      </c>
      <c r="L13" s="16">
        <f t="shared" si="1"/>
        <v>0</v>
      </c>
      <c r="O13" s="17" t="str">
        <f>IF(INDEX('[23]Master Data'!$B$4:$B$18,A13)=0," ",INDEX('[23]Master Data'!$B$4:$B$18,A13))</f>
        <v xml:space="preserve"> </v>
      </c>
      <c r="P13" s="14">
        <f>IFERROR(INDEX('[23]Master Data'!$D$4:$D$18,MATCH(O13,'[23]Master Data'!$B$4:$B$18,0)),0)</f>
        <v>0</v>
      </c>
      <c r="Q13" s="15">
        <f>IFERROR(INDEX('[23]Master Data'!$G$4:$G$18,MATCH(O13,'[23]Master Data'!$B$4:$B$18,0)),0)</f>
        <v>0</v>
      </c>
      <c r="R13" s="16">
        <f t="shared" si="2"/>
        <v>0</v>
      </c>
    </row>
    <row r="14" spans="1:18" hidden="1" x14ac:dyDescent="0.25">
      <c r="A14">
        <v>8</v>
      </c>
      <c r="C14" s="17" t="str">
        <f>IF(INDEX('[23]Master Data'!$B$4:$B$18,A14)=0," ",INDEX('[23]Master Data'!$B$4:$B$18,A14))</f>
        <v xml:space="preserve"> </v>
      </c>
      <c r="D14" s="14">
        <f>IFERROR(INDEX('[23]Master Data'!$D$4:$D$18,MATCH(C14,'[23]Master Data'!$B$4:$B$18,0)),0)</f>
        <v>0</v>
      </c>
      <c r="E14" s="15">
        <f>IFERROR(INDEX('[23]Master Data'!$E$4:$E$18,MATCH(C14,'[23]Master Data'!$B$4:$B$18,0)),0)</f>
        <v>0</v>
      </c>
      <c r="F14" s="16">
        <f t="shared" si="0"/>
        <v>0</v>
      </c>
      <c r="G14" s="6"/>
      <c r="I14" s="17" t="str">
        <f>IF(INDEX('[23]Master Data'!$B$4:$B$18,A14)=0," ",INDEX('[23]Master Data'!$B$4:$B$18,A14))</f>
        <v xml:space="preserve"> </v>
      </c>
      <c r="J14" s="14">
        <f>IFERROR(INDEX('[23]Master Data'!$D$4:$D$18,MATCH(I14,'[23]Master Data'!$B$4:$B$18,0)),0)</f>
        <v>0</v>
      </c>
      <c r="K14" s="15">
        <f>IFERROR(INDEX('[23]Master Data'!$F$4:$F$18,MATCH(I14,'[23]Master Data'!$B$4:$B$18,0)),0)</f>
        <v>0</v>
      </c>
      <c r="L14" s="16">
        <f t="shared" si="1"/>
        <v>0</v>
      </c>
      <c r="O14" s="17" t="str">
        <f>IF(INDEX('[23]Master Data'!$B$4:$B$18,A14)=0," ",INDEX('[23]Master Data'!$B$4:$B$18,A14))</f>
        <v xml:space="preserve"> </v>
      </c>
      <c r="P14" s="14">
        <f>IFERROR(INDEX('[23]Master Data'!$D$4:$D$18,MATCH(O14,'[23]Master Data'!$B$4:$B$18,0)),0)</f>
        <v>0</v>
      </c>
      <c r="Q14" s="15">
        <f>IFERROR(INDEX('[23]Master Data'!$G$4:$G$18,MATCH(O14,'[23]Master Data'!$B$4:$B$18,0)),0)</f>
        <v>0</v>
      </c>
      <c r="R14" s="16">
        <f t="shared" si="2"/>
        <v>0</v>
      </c>
    </row>
    <row r="15" spans="1:18" hidden="1" x14ac:dyDescent="0.25">
      <c r="A15">
        <v>9</v>
      </c>
      <c r="C15" s="17" t="str">
        <f>IF(INDEX('[23]Master Data'!$B$4:$B$18,A15)=0," ",INDEX('[23]Master Data'!$B$4:$B$18,A15))</f>
        <v xml:space="preserve"> </v>
      </c>
      <c r="D15" s="14">
        <f>IFERROR(INDEX('[23]Master Data'!$D$4:$D$18,MATCH(C15,'[23]Master Data'!$B$4:$B$18,0)),0)</f>
        <v>0</v>
      </c>
      <c r="E15" s="15">
        <f>IFERROR(INDEX('[23]Master Data'!$E$4:$E$18,MATCH(C15,'[23]Master Data'!$B$4:$B$18,0)),0)</f>
        <v>0</v>
      </c>
      <c r="F15" s="16">
        <f t="shared" si="0"/>
        <v>0</v>
      </c>
      <c r="G15" s="6"/>
      <c r="I15" s="17" t="str">
        <f>IF(INDEX('[23]Master Data'!$B$4:$B$18,A15)=0," ",INDEX('[23]Master Data'!$B$4:$B$18,A15))</f>
        <v xml:space="preserve"> </v>
      </c>
      <c r="J15" s="14">
        <f>IFERROR(INDEX('[23]Master Data'!$D$4:$D$18,MATCH(I15,'[23]Master Data'!$B$4:$B$18,0)),0)</f>
        <v>0</v>
      </c>
      <c r="K15" s="15">
        <f>IFERROR(INDEX('[23]Master Data'!$F$4:$F$18,MATCH(I15,'[23]Master Data'!$B$4:$B$18,0)),0)</f>
        <v>0</v>
      </c>
      <c r="L15" s="16">
        <f t="shared" si="1"/>
        <v>0</v>
      </c>
      <c r="O15" s="17" t="str">
        <f>IF(INDEX('[23]Master Data'!$B$4:$B$18,A15)=0," ",INDEX('[23]Master Data'!$B$4:$B$18,A15))</f>
        <v xml:space="preserve"> </v>
      </c>
      <c r="P15" s="14">
        <f>IFERROR(INDEX('[23]Master Data'!$D$4:$D$18,MATCH(O15,'[23]Master Data'!$B$4:$B$18,0)),0)</f>
        <v>0</v>
      </c>
      <c r="Q15" s="15">
        <f>IFERROR(INDEX('[23]Master Data'!$G$4:$G$18,MATCH(O15,'[23]Master Data'!$B$4:$B$18,0)),0)</f>
        <v>0</v>
      </c>
      <c r="R15" s="16">
        <f t="shared" si="2"/>
        <v>0</v>
      </c>
    </row>
    <row r="16" spans="1:18" hidden="1" x14ac:dyDescent="0.25">
      <c r="A16">
        <v>10</v>
      </c>
      <c r="C16" s="17" t="str">
        <f>IF(INDEX('[23]Master Data'!$B$4:$B$18,A16)=0," ",INDEX('[23]Master Data'!$B$4:$B$18,A16))</f>
        <v xml:space="preserve"> </v>
      </c>
      <c r="D16" s="14">
        <f>IFERROR(INDEX('[23]Master Data'!$D$4:$D$18,MATCH(C16,'[23]Master Data'!$B$4:$B$18,0)),0)</f>
        <v>0</v>
      </c>
      <c r="E16" s="15">
        <f>IFERROR(INDEX('[23]Master Data'!$E$4:$E$18,MATCH(C16,'[23]Master Data'!$B$4:$B$18,0)),0)</f>
        <v>0</v>
      </c>
      <c r="F16" s="16">
        <f t="shared" si="0"/>
        <v>0</v>
      </c>
      <c r="G16" s="6"/>
      <c r="I16" s="17" t="str">
        <f>IF(INDEX('[23]Master Data'!$B$4:$B$18,A16)=0," ",INDEX('[23]Master Data'!$B$4:$B$18,A16))</f>
        <v xml:space="preserve"> </v>
      </c>
      <c r="J16" s="14">
        <f>IFERROR(INDEX('[23]Master Data'!$D$4:$D$18,MATCH(I16,'[23]Master Data'!$B$4:$B$18,0)),0)</f>
        <v>0</v>
      </c>
      <c r="K16" s="15">
        <f>IFERROR(INDEX('[23]Master Data'!$F$4:$F$18,MATCH(I16,'[23]Master Data'!$B$4:$B$18,0)),0)</f>
        <v>0</v>
      </c>
      <c r="L16" s="16">
        <f t="shared" si="1"/>
        <v>0</v>
      </c>
      <c r="O16" s="17" t="str">
        <f>IF(INDEX('[23]Master Data'!$B$4:$B$18,A16)=0," ",INDEX('[23]Master Data'!$B$4:$B$18,A16))</f>
        <v xml:space="preserve"> </v>
      </c>
      <c r="P16" s="14">
        <f>IFERROR(INDEX('[23]Master Data'!$D$4:$D$18,MATCH(O16,'[23]Master Data'!$B$4:$B$18,0)),0)</f>
        <v>0</v>
      </c>
      <c r="Q16" s="15">
        <f>IFERROR(INDEX('[23]Master Data'!$G$4:$G$18,MATCH(O16,'[23]Master Data'!$B$4:$B$18,0)),0)</f>
        <v>0</v>
      </c>
      <c r="R16" s="16">
        <f t="shared" si="2"/>
        <v>0</v>
      </c>
    </row>
    <row r="17" spans="1:18" hidden="1" x14ac:dyDescent="0.25">
      <c r="A17">
        <v>11</v>
      </c>
      <c r="C17" s="17" t="str">
        <f>IF(INDEX('[23]Master Data'!$B$4:$B$18,A17)=0," ",INDEX('[23]Master Data'!$B$4:$B$18,A17))</f>
        <v xml:space="preserve"> </v>
      </c>
      <c r="D17" s="14">
        <f>IFERROR(INDEX('[23]Master Data'!$D$4:$D$18,MATCH(C17,'[23]Master Data'!$B$4:$B$18,0)),0)</f>
        <v>0</v>
      </c>
      <c r="E17" s="15">
        <f>IFERROR(INDEX('[23]Master Data'!$E$4:$E$18,MATCH(C17,'[23]Master Data'!$B$4:$B$18,0)),0)</f>
        <v>0</v>
      </c>
      <c r="F17" s="16">
        <f t="shared" si="0"/>
        <v>0</v>
      </c>
      <c r="G17" s="6"/>
      <c r="I17" s="17" t="str">
        <f>IF(INDEX('[23]Master Data'!$B$4:$B$18,A17)=0," ",INDEX('[23]Master Data'!$B$4:$B$18,A17))</f>
        <v xml:space="preserve"> </v>
      </c>
      <c r="J17" s="14">
        <f>IFERROR(INDEX('[23]Master Data'!$D$4:$D$18,MATCH(I17,'[23]Master Data'!$B$4:$B$18,0)),0)</f>
        <v>0</v>
      </c>
      <c r="K17" s="15">
        <f>IFERROR(INDEX('[23]Master Data'!$F$4:$F$18,MATCH(I17,'[23]Master Data'!$B$4:$B$18,0)),0)</f>
        <v>0</v>
      </c>
      <c r="L17" s="16">
        <f t="shared" si="1"/>
        <v>0</v>
      </c>
      <c r="O17" s="17" t="str">
        <f>IF(INDEX('[23]Master Data'!$B$4:$B$18,A17)=0," ",INDEX('[23]Master Data'!$B$4:$B$18,A17))</f>
        <v xml:space="preserve"> </v>
      </c>
      <c r="P17" s="14">
        <f>IFERROR(INDEX('[23]Master Data'!$D$4:$D$18,MATCH(O17,'[23]Master Data'!$B$4:$B$18,0)),0)</f>
        <v>0</v>
      </c>
      <c r="Q17" s="15">
        <f>IFERROR(INDEX('[23]Master Data'!$G$4:$G$18,MATCH(O17,'[23]Master Data'!$B$4:$B$18,0)),0)</f>
        <v>0</v>
      </c>
      <c r="R17" s="16">
        <f t="shared" si="2"/>
        <v>0</v>
      </c>
    </row>
    <row r="18" spans="1:18" hidden="1" x14ac:dyDescent="0.25">
      <c r="A18">
        <v>12</v>
      </c>
      <c r="C18" s="17" t="str">
        <f>IF(INDEX('[23]Master Data'!$B$4:$B$18,A18)=0," ",INDEX('[23]Master Data'!$B$4:$B$18,A18))</f>
        <v xml:space="preserve"> </v>
      </c>
      <c r="D18" s="14">
        <f>IFERROR(INDEX('[23]Master Data'!$D$4:$D$18,MATCH(C18,'[23]Master Data'!$B$4:$B$18,0)),0)</f>
        <v>0</v>
      </c>
      <c r="E18" s="15">
        <f>IFERROR(INDEX('[23]Master Data'!$E$4:$E$18,MATCH(C18,'[23]Master Data'!$B$4:$B$18,0)),0)</f>
        <v>0</v>
      </c>
      <c r="F18" s="16">
        <f t="shared" si="0"/>
        <v>0</v>
      </c>
      <c r="G18" s="6"/>
      <c r="I18" s="17" t="str">
        <f>IF(INDEX('[23]Master Data'!$B$4:$B$18,A18)=0," ",INDEX('[23]Master Data'!$B$4:$B$18,A18))</f>
        <v xml:space="preserve"> </v>
      </c>
      <c r="J18" s="14">
        <f>IFERROR(INDEX('[23]Master Data'!$D$4:$D$18,MATCH(I18,'[23]Master Data'!$B$4:$B$18,0)),0)</f>
        <v>0</v>
      </c>
      <c r="K18" s="15">
        <f>IFERROR(INDEX('[23]Master Data'!$F$4:$F$18,MATCH(I18,'[23]Master Data'!$B$4:$B$18,0)),0)</f>
        <v>0</v>
      </c>
      <c r="L18" s="16">
        <f t="shared" si="1"/>
        <v>0</v>
      </c>
      <c r="O18" s="17" t="str">
        <f>IF(INDEX('[23]Master Data'!$B$4:$B$18,A18)=0," ",INDEX('[23]Master Data'!$B$4:$B$18,A18))</f>
        <v xml:space="preserve"> </v>
      </c>
      <c r="P18" s="14">
        <f>IFERROR(INDEX('[23]Master Data'!$D$4:$D$18,MATCH(O18,'[23]Master Data'!$B$4:$B$18,0)),0)</f>
        <v>0</v>
      </c>
      <c r="Q18" s="15">
        <f>IFERROR(INDEX('[23]Master Data'!$G$4:$G$18,MATCH(O18,'[23]Master Data'!$B$4:$B$18,0)),0)</f>
        <v>0</v>
      </c>
      <c r="R18" s="16">
        <f t="shared" si="2"/>
        <v>0</v>
      </c>
    </row>
    <row r="19" spans="1:18" hidden="1" x14ac:dyDescent="0.25">
      <c r="A19">
        <v>13</v>
      </c>
      <c r="C19" s="17" t="str">
        <f>IF(INDEX('[23]Master Data'!$B$4:$B$18,A19)=0," ",INDEX('[23]Master Data'!$B$4:$B$18,A19))</f>
        <v xml:space="preserve"> </v>
      </c>
      <c r="D19" s="14">
        <f>IFERROR(INDEX('[23]Master Data'!$D$4:$D$18,MATCH(C19,'[23]Master Data'!$B$4:$B$18,0)),0)</f>
        <v>0</v>
      </c>
      <c r="E19" s="15">
        <f>IFERROR(INDEX('[23]Master Data'!$E$4:$E$18,MATCH(C19,'[23]Master Data'!$B$4:$B$18,0)),0)</f>
        <v>0</v>
      </c>
      <c r="F19" s="16">
        <f t="shared" si="0"/>
        <v>0</v>
      </c>
      <c r="G19" s="6"/>
      <c r="I19" s="17" t="str">
        <f>IF(INDEX('[23]Master Data'!$B$4:$B$18,A19)=0," ",INDEX('[23]Master Data'!$B$4:$B$18,A19))</f>
        <v xml:space="preserve"> </v>
      </c>
      <c r="J19" s="14">
        <f>IFERROR(INDEX('[23]Master Data'!$D$4:$D$18,MATCH(I19,'[23]Master Data'!$B$4:$B$18,0)),0)</f>
        <v>0</v>
      </c>
      <c r="K19" s="15">
        <f>IFERROR(INDEX('[23]Master Data'!$F$4:$F$18,MATCH(I19,'[23]Master Data'!$B$4:$B$18,0)),0)</f>
        <v>0</v>
      </c>
      <c r="L19" s="16">
        <f t="shared" si="1"/>
        <v>0</v>
      </c>
      <c r="O19" s="17" t="str">
        <f>IF(INDEX('[23]Master Data'!$B$4:$B$18,A19)=0," ",INDEX('[23]Master Data'!$B$4:$B$18,A19))</f>
        <v xml:space="preserve"> </v>
      </c>
      <c r="P19" s="14">
        <f>IFERROR(INDEX('[23]Master Data'!$D$4:$D$18,MATCH(O19,'[23]Master Data'!$B$4:$B$18,0)),0)</f>
        <v>0</v>
      </c>
      <c r="Q19" s="15">
        <f>IFERROR(INDEX('[23]Master Data'!$G$4:$G$18,MATCH(O19,'[23]Master Data'!$B$4:$B$18,0)),0)</f>
        <v>0</v>
      </c>
      <c r="R19" s="16">
        <f t="shared" si="2"/>
        <v>0</v>
      </c>
    </row>
    <row r="20" spans="1:18" hidden="1" x14ac:dyDescent="0.25">
      <c r="A20">
        <v>14</v>
      </c>
      <c r="C20" s="17" t="str">
        <f>IF(INDEX('[23]Master Data'!$B$4:$B$18,A20)=0," ",INDEX('[23]Master Data'!$B$4:$B$18,A20))</f>
        <v xml:space="preserve"> </v>
      </c>
      <c r="D20" s="14">
        <f>IFERROR(INDEX('[23]Master Data'!$D$4:$D$18,MATCH(C20,'[23]Master Data'!$B$4:$B$18,0)),0)</f>
        <v>0</v>
      </c>
      <c r="E20" s="15">
        <f>IFERROR(INDEX('[23]Master Data'!$E$4:$E$18,MATCH(C20,'[23]Master Data'!$B$4:$B$18,0)),0)</f>
        <v>0</v>
      </c>
      <c r="F20" s="16">
        <f t="shared" si="0"/>
        <v>0</v>
      </c>
      <c r="G20" s="6"/>
      <c r="I20" s="17" t="str">
        <f>IF(INDEX('[23]Master Data'!$B$4:$B$18,A20)=0," ",INDEX('[23]Master Data'!$B$4:$B$18,A20))</f>
        <v xml:space="preserve"> </v>
      </c>
      <c r="J20" s="14">
        <f>IFERROR(INDEX('[23]Master Data'!$D$4:$D$18,MATCH(I20,'[23]Master Data'!$B$4:$B$18,0)),0)</f>
        <v>0</v>
      </c>
      <c r="K20" s="15">
        <f>IFERROR(INDEX('[23]Master Data'!$F$4:$F$18,MATCH(I20,'[23]Master Data'!$B$4:$B$18,0)),0)</f>
        <v>0</v>
      </c>
      <c r="L20" s="16">
        <f t="shared" si="1"/>
        <v>0</v>
      </c>
      <c r="O20" s="17" t="str">
        <f>IF(INDEX('[23]Master Data'!$B$4:$B$18,A20)=0," ",INDEX('[23]Master Data'!$B$4:$B$18,A20))</f>
        <v xml:space="preserve"> </v>
      </c>
      <c r="P20" s="14">
        <f>IFERROR(INDEX('[23]Master Data'!$D$4:$D$18,MATCH(O20,'[23]Master Data'!$B$4:$B$18,0)),0)</f>
        <v>0</v>
      </c>
      <c r="Q20" s="15">
        <f>IFERROR(INDEX('[23]Master Data'!$G$4:$G$18,MATCH(O20,'[23]Master Data'!$B$4:$B$18,0)),0)</f>
        <v>0</v>
      </c>
      <c r="R20" s="16">
        <f t="shared" si="2"/>
        <v>0</v>
      </c>
    </row>
    <row r="21" spans="1:18" hidden="1" x14ac:dyDescent="0.25">
      <c r="A21">
        <v>15</v>
      </c>
      <c r="C21" s="17" t="str">
        <f>IF(INDEX('[23]Master Data'!$B$4:$B$18,A21)=0," ",INDEX('[23]Master Data'!$B$4:$B$18,A21))</f>
        <v xml:space="preserve"> </v>
      </c>
      <c r="D21" s="14">
        <f>IFERROR(INDEX('[23]Master Data'!$D$4:$D$18,MATCH(C21,'[23]Master Data'!$B$4:$B$18,0)),0)</f>
        <v>0</v>
      </c>
      <c r="E21" s="15">
        <f>IFERROR(INDEX('[23]Master Data'!$E$4:$E$18,MATCH(C21,'[23]Master Data'!$B$4:$B$18,0)),0)</f>
        <v>0</v>
      </c>
      <c r="F21" s="16">
        <f t="shared" si="0"/>
        <v>0</v>
      </c>
      <c r="G21" s="6"/>
      <c r="I21" s="17" t="str">
        <f>IF(INDEX('[23]Master Data'!$B$4:$B$18,A21)=0," ",INDEX('[23]Master Data'!$B$4:$B$18,A21))</f>
        <v xml:space="preserve"> </v>
      </c>
      <c r="J21" s="14">
        <f>IFERROR(INDEX('[23]Master Data'!$D$4:$D$18,MATCH(I21,'[23]Master Data'!$B$4:$B$18,0)),0)</f>
        <v>0</v>
      </c>
      <c r="K21" s="15">
        <f>IFERROR(INDEX('[23]Master Data'!$F$4:$F$18,MATCH(I21,'[23]Master Data'!$B$4:$B$18,0)),0)</f>
        <v>0</v>
      </c>
      <c r="L21" s="16">
        <f t="shared" si="1"/>
        <v>0</v>
      </c>
      <c r="O21" s="17" t="str">
        <f>IF(INDEX('[23]Master Data'!$B$4:$B$18,A21)=0," ",INDEX('[23]Master Data'!$B$4:$B$18,A21))</f>
        <v xml:space="preserve"> </v>
      </c>
      <c r="P21" s="14">
        <f>IFERROR(INDEX('[23]Master Data'!$D$4:$D$18,MATCH(O21,'[23]Master Data'!$B$4:$B$18,0)),0)</f>
        <v>0</v>
      </c>
      <c r="Q21" s="15">
        <f>IFERROR(INDEX('[23]Master Data'!$G$4:$G$18,MATCH(O21,'[23]Master Data'!$B$4:$B$18,0)),0)</f>
        <v>0</v>
      </c>
      <c r="R21" s="16">
        <f t="shared" si="2"/>
        <v>0</v>
      </c>
    </row>
    <row r="22" spans="1:18" x14ac:dyDescent="0.25">
      <c r="C22" s="18" t="s">
        <v>10</v>
      </c>
      <c r="D22" s="19">
        <f>SUM(D7:D21)</f>
        <v>385227.23200000002</v>
      </c>
      <c r="E22" s="20">
        <f>SUM(E7:E21)</f>
        <v>2.4500000000000002</v>
      </c>
      <c r="F22" s="21">
        <f>SUM(F7:F21)</f>
        <v>171032.88800000001</v>
      </c>
      <c r="G22" s="6"/>
      <c r="I22" s="18" t="s">
        <v>10</v>
      </c>
      <c r="J22" s="19">
        <f>SUM(J7:J21)</f>
        <v>385227.23200000002</v>
      </c>
      <c r="K22" s="20">
        <f>SUM(K7:K21)</f>
        <v>2.8</v>
      </c>
      <c r="L22" s="21">
        <f>SUM(L7:L21)</f>
        <v>200029.94959999999</v>
      </c>
      <c r="O22" s="18" t="s">
        <v>10</v>
      </c>
      <c r="P22" s="19">
        <f>SUM(P7:P21)</f>
        <v>385227.23200000002</v>
      </c>
      <c r="Q22" s="20">
        <f>SUM(Q7:Q21)</f>
        <v>3.45</v>
      </c>
      <c r="R22" s="21">
        <f>SUM(R7:R21)</f>
        <v>250282.21920000002</v>
      </c>
    </row>
    <row r="23" spans="1:18" x14ac:dyDescent="0.25">
      <c r="C23" s="22"/>
      <c r="F23" s="23"/>
      <c r="I23" s="22"/>
      <c r="L23" s="23"/>
      <c r="O23" s="22"/>
      <c r="R23" s="23"/>
    </row>
    <row r="24" spans="1:18" ht="15.75" thickBot="1" x14ac:dyDescent="0.3">
      <c r="C24" s="7" t="s">
        <v>11</v>
      </c>
      <c r="D24" s="24">
        <f>'[23]Master Data'!C24</f>
        <v>0.27379999999999999</v>
      </c>
      <c r="F24" s="25">
        <f>F22*D24</f>
        <v>46828.804734400001</v>
      </c>
      <c r="I24" s="7" t="s">
        <v>11</v>
      </c>
      <c r="J24" s="24">
        <f>'[23]Master Data'!C24</f>
        <v>0.27379999999999999</v>
      </c>
      <c r="L24" s="25">
        <f>L22*J24</f>
        <v>54768.200200479994</v>
      </c>
      <c r="O24" s="7" t="s">
        <v>11</v>
      </c>
      <c r="P24" s="24">
        <f>'[23]Master Data'!C24</f>
        <v>0.27379999999999999</v>
      </c>
      <c r="R24" s="25">
        <f>R22*P24</f>
        <v>68527.271616960003</v>
      </c>
    </row>
    <row r="25" spans="1:18" ht="15.75" thickBot="1" x14ac:dyDescent="0.3">
      <c r="C25" s="26" t="s">
        <v>12</v>
      </c>
      <c r="D25" s="27"/>
      <c r="E25" s="27"/>
      <c r="F25" s="28">
        <f>SUM(F22,F24)</f>
        <v>217861.69273440001</v>
      </c>
      <c r="I25" s="26" t="s">
        <v>12</v>
      </c>
      <c r="J25" s="27"/>
      <c r="K25" s="27"/>
      <c r="L25" s="28">
        <f>SUM(L22,L24)</f>
        <v>254798.14980047999</v>
      </c>
      <c r="O25" s="26" t="s">
        <v>12</v>
      </c>
      <c r="P25" s="27"/>
      <c r="Q25" s="27"/>
      <c r="R25" s="28">
        <f>SUM(R22,R24)</f>
        <v>318809.49081695999</v>
      </c>
    </row>
    <row r="26" spans="1:18" ht="15.75" thickBot="1" x14ac:dyDescent="0.3"/>
    <row r="27" spans="1:18" x14ac:dyDescent="0.25">
      <c r="C27" s="1255" t="s">
        <v>13</v>
      </c>
      <c r="D27" s="1256"/>
      <c r="E27" s="1256"/>
      <c r="F27" s="1257"/>
      <c r="I27" s="1255" t="s">
        <v>13</v>
      </c>
      <c r="J27" s="1256"/>
      <c r="K27" s="1256"/>
      <c r="L27" s="1257"/>
      <c r="O27" s="1255" t="s">
        <v>13</v>
      </c>
      <c r="P27" s="1256"/>
      <c r="Q27" s="1256"/>
      <c r="R27" s="1257"/>
    </row>
    <row r="28" spans="1:18" x14ac:dyDescent="0.25">
      <c r="C28" s="29"/>
      <c r="D28" s="30"/>
      <c r="E28" s="31"/>
      <c r="F28" s="32" t="s">
        <v>14</v>
      </c>
      <c r="I28" s="29"/>
      <c r="J28" s="30"/>
      <c r="K28" s="31"/>
      <c r="L28" s="32" t="s">
        <v>14</v>
      </c>
      <c r="O28" s="29"/>
      <c r="P28" s="30"/>
      <c r="Q28" s="31"/>
      <c r="R28" s="32" t="s">
        <v>14</v>
      </c>
    </row>
    <row r="29" spans="1:18" x14ac:dyDescent="0.25">
      <c r="A29">
        <v>1</v>
      </c>
      <c r="C29" s="2" t="str">
        <f>IF(INDEX('[23]Master Data'!$B$33:$B$47,A29)=0," ",INDEX('[23]Master Data'!$B$33:$B$47,A29))</f>
        <v xml:space="preserve"> </v>
      </c>
      <c r="D29" s="33"/>
      <c r="E29" s="34">
        <f>IFERROR(INDEX('[23]Master Data'!$C$33:$C$47,MATCH(C29,'[23]Master Data'!$B$33:$B$47,0)),0)</f>
        <v>0</v>
      </c>
      <c r="F29" s="35">
        <f>E29*D4</f>
        <v>0</v>
      </c>
      <c r="I29" s="2" t="str">
        <f>IF(INDEX('[23]Master Data'!$B$33:$B$47,A29)=0," ",INDEX('[23]Master Data'!$B$33:$B$47,A29))</f>
        <v xml:space="preserve"> </v>
      </c>
      <c r="J29" s="33"/>
      <c r="K29" s="34">
        <f>IFERROR(INDEX('[23]Master Data'!$D$33:$D$47,MATCH(I29,'[23]Master Data'!$B$33:$B$47,0)),0)</f>
        <v>0</v>
      </c>
      <c r="L29" s="35">
        <f>K29*J4</f>
        <v>0</v>
      </c>
      <c r="O29" s="2" t="str">
        <f>IF(INDEX('[23]Master Data'!$B$33:$B$47,A29)=0," ",INDEX('[23]Master Data'!$B$33:$B$47,A29))</f>
        <v xml:space="preserve"> </v>
      </c>
      <c r="P29" s="33"/>
      <c r="Q29" s="34">
        <f>IFERROR(INDEX('[23]Master Data'!$E$33:$E$47,MATCH(O29,'[23]Master Data'!$B$33:$B$47,0)),0)</f>
        <v>0</v>
      </c>
      <c r="R29" s="35">
        <f>Q29*P4</f>
        <v>0</v>
      </c>
    </row>
    <row r="30" spans="1:18" x14ac:dyDescent="0.25">
      <c r="A30">
        <v>2</v>
      </c>
      <c r="C30" s="7" t="str">
        <f>IF(INDEX('[23]Master Data'!$B$33:$B$47,A30)=0," ",INDEX('[23]Master Data'!$B$33:$B$47,A30))</f>
        <v>Direct Admin Expenses</v>
      </c>
      <c r="E30" s="34">
        <f>IFERROR(INDEX('[23]Master Data'!$C$33:$C$47,MATCH(C30,'[23]Master Data'!$B$33:$B$47,0)),0)</f>
        <v>2500</v>
      </c>
      <c r="F30" s="25">
        <f>E30*E22</f>
        <v>6125</v>
      </c>
      <c r="I30" s="7" t="str">
        <f>IF(INDEX('[23]Master Data'!$B$33:$B$47,A30)=0," ",INDEX('[23]Master Data'!$B$33:$B$47,A30))</f>
        <v>Direct Admin Expenses</v>
      </c>
      <c r="K30" s="34">
        <f>IFERROR(INDEX('[23]Master Data'!$D$33:$D$47,MATCH(I30,'[23]Master Data'!$B$33:$B$47,0)),0)</f>
        <v>2500</v>
      </c>
      <c r="L30" s="25">
        <f>K30*K22</f>
        <v>7000</v>
      </c>
      <c r="O30" s="7" t="str">
        <f>IF(INDEX('[23]Master Data'!$B$33:$B$47,A30)=0," ",INDEX('[23]Master Data'!$B$33:$B$47,A30))</f>
        <v>Direct Admin Expenses</v>
      </c>
      <c r="Q30" s="34">
        <f>IFERROR(INDEX('[23]Master Data'!$E$33:$E$47,MATCH(O30,'[23]Master Data'!$B$33:$B$47,0)),0)</f>
        <v>2500</v>
      </c>
      <c r="R30" s="25">
        <f>Q30*Q22</f>
        <v>8625</v>
      </c>
    </row>
    <row r="31" spans="1:18" x14ac:dyDescent="0.25">
      <c r="A31">
        <v>3</v>
      </c>
      <c r="C31" s="7" t="str">
        <f>IF(INDEX('[23]Master Data'!$B$33:$B$47,A31)=0," ",INDEX('[23]Master Data'!$B$33:$B$47,A31))</f>
        <v>Respite / Caregiver Relief</v>
      </c>
      <c r="E31" s="34">
        <f>IFERROR(INDEX('[23]Master Data'!$C$33:$C$47,MATCH(C31,'[23]Master Data'!$B$33:$B$47,0)),0)</f>
        <v>36750</v>
      </c>
      <c r="F31" s="25">
        <f>E31</f>
        <v>36750</v>
      </c>
      <c r="I31" s="7" t="str">
        <f>IF(INDEX('[23]Master Data'!$B$33:$B$47,A31)=0," ",INDEX('[23]Master Data'!$B$33:$B$47,A31))</f>
        <v>Respite / Caregiver Relief</v>
      </c>
      <c r="K31" s="34">
        <f>IFERROR(INDEX('[23]Master Data'!$D$33:$D$47,MATCH(I31,'[23]Master Data'!$B$33:$B$47,0)),0)</f>
        <v>46200</v>
      </c>
      <c r="L31" s="25">
        <f>K31</f>
        <v>46200</v>
      </c>
      <c r="O31" s="7" t="str">
        <f>IF(INDEX('[23]Master Data'!$B$33:$B$47,A31)=0," ",INDEX('[23]Master Data'!$B$33:$B$47,A31))</f>
        <v>Respite / Caregiver Relief</v>
      </c>
      <c r="Q31" s="34">
        <f>IFERROR(INDEX('[23]Master Data'!$E$33:$E$47,MATCH(O31,'[23]Master Data'!$B$33:$B$47,0)),0)</f>
        <v>70000</v>
      </c>
      <c r="R31" s="25">
        <f>Q31</f>
        <v>70000</v>
      </c>
    </row>
    <row r="32" spans="1:18" x14ac:dyDescent="0.25">
      <c r="A32">
        <v>4</v>
      </c>
      <c r="C32" s="7" t="str">
        <f>IF(INDEX('[23]Master Data'!$B$33:$B$47,A32)=0," ",INDEX('[23]Master Data'!$B$33:$B$47,A32))</f>
        <v xml:space="preserve">Staff/Caregiver Training </v>
      </c>
      <c r="E32" s="34">
        <f>IFERROR(INDEX('[23]Master Data'!$C$33:$C$47,MATCH(C32,'[23]Master Data'!$B$33:$B$47,0)),0)</f>
        <v>418.41999999999996</v>
      </c>
      <c r="F32" s="25">
        <f>(E32*(E22+D4))</f>
        <v>7301.4289999999992</v>
      </c>
      <c r="G32" s="36"/>
      <c r="H32" s="37"/>
      <c r="I32" s="7" t="str">
        <f>IF(INDEX('[23]Master Data'!$B$33:$B$47,A32)=0," ",INDEX('[23]Master Data'!$B$33:$B$47,A32))</f>
        <v xml:space="preserve">Staff/Caregiver Training </v>
      </c>
      <c r="K32" s="34">
        <f>IFERROR(INDEX('[23]Master Data'!$D$33:$D$47,MATCH(I32,'[23]Master Data'!$B$33:$B$47,0)),0)</f>
        <v>418.41999999999996</v>
      </c>
      <c r="L32" s="25">
        <f>(K32*(K22+J4))</f>
        <v>5774.1959999999999</v>
      </c>
      <c r="O32" s="7" t="str">
        <f>IF(INDEX('[23]Master Data'!$B$33:$B$47,A32)=0," ",INDEX('[23]Master Data'!$B$33:$B$47,A32))</f>
        <v xml:space="preserve">Staff/Caregiver Training </v>
      </c>
      <c r="Q32" s="34">
        <f>IFERROR(INDEX('[23]Master Data'!$E$33:$E$47,MATCH(O32,'[23]Master Data'!$B$33:$B$47,0)),0)</f>
        <v>418.41999999999996</v>
      </c>
      <c r="R32" s="25">
        <f>(Q32*(Q22+P4))</f>
        <v>4790.9089999999997</v>
      </c>
    </row>
    <row r="33" spans="1:18" ht="15.75" thickBot="1" x14ac:dyDescent="0.3">
      <c r="A33">
        <v>5</v>
      </c>
      <c r="C33" s="7" t="str">
        <f>IF(INDEX('[23]Master Data'!$B$33:$B$47,A33)=0," ",INDEX('[23]Master Data'!$B$33:$B$47,A33))</f>
        <v>Staff Mileage / Travel</v>
      </c>
      <c r="E33" s="34">
        <f>IFERROR(INDEX('[23]Master Data'!$C$33:$C$47,MATCH(C33,'[23]Master Data'!$B$33:$B$47,0)),0)</f>
        <v>2540.660180413498</v>
      </c>
      <c r="F33" s="25">
        <f>(E22*E33)</f>
        <v>6224.6174420130701</v>
      </c>
      <c r="I33" s="7" t="str">
        <f>IF(INDEX('[23]Master Data'!$B$33:$B$47,A33)=0," ",INDEX('[23]Master Data'!$B$33:$B$47,A33))</f>
        <v>Staff Mileage / Travel</v>
      </c>
      <c r="K33" s="34">
        <f>IFERROR(INDEX('[23]Master Data'!$D$33:$D$47,MATCH(I33,'[23]Master Data'!$B$33:$B$47,0)),0)</f>
        <v>2540.660180413498</v>
      </c>
      <c r="L33" s="25">
        <f>(K22*K33)</f>
        <v>7113.8485051577936</v>
      </c>
      <c r="O33" s="7" t="str">
        <f>IF(INDEX('[23]Master Data'!$B$33:$B$47,A33)=0," ",INDEX('[23]Master Data'!$B$33:$B$47,A33))</f>
        <v>Staff Mileage / Travel</v>
      </c>
      <c r="Q33" s="34">
        <f>IFERROR(INDEX('[23]Master Data'!$E$33:$E$47,MATCH(O33,'[23]Master Data'!$B$33:$B$47,0)),0)</f>
        <v>2540.660180413498</v>
      </c>
      <c r="R33" s="25">
        <f>(Q22*Q33)</f>
        <v>8765.277622426569</v>
      </c>
    </row>
    <row r="34" spans="1:18" ht="15.75" hidden="1" thickBot="1" x14ac:dyDescent="0.3">
      <c r="A34">
        <v>6</v>
      </c>
      <c r="C34" s="7" t="str">
        <f>IF(INDEX('[23]Master Data'!$B$33:$B$47,A34)=0," ",INDEX('[23]Master Data'!$B$33:$B$47,A34))</f>
        <v xml:space="preserve"> </v>
      </c>
      <c r="E34" s="34">
        <f>IFERROR(INDEX('[23]Master Data'!$C$33:$C$47,MATCH(C34,'[23]Master Data'!$B$33:$B$47,0)),0)</f>
        <v>0</v>
      </c>
      <c r="F34" s="25">
        <f>E34</f>
        <v>0</v>
      </c>
      <c r="I34" s="7" t="str">
        <f>IF(INDEX('[23]Master Data'!$B$33:$B$47,A34)=0," ",INDEX('[23]Master Data'!$B$33:$B$47,A34))</f>
        <v xml:space="preserve"> </v>
      </c>
      <c r="K34" s="34">
        <f>IFERROR(INDEX('[23]Master Data'!$D$33:$D$47,MATCH(I34,'[23]Master Data'!$B$33:$B$47,0)),0)</f>
        <v>0</v>
      </c>
      <c r="L34" s="25">
        <f>K34</f>
        <v>0</v>
      </c>
      <c r="O34" s="7" t="str">
        <f>IF(INDEX('[23]Master Data'!$B$33:$B$47,A34)=0," ",INDEX('[23]Master Data'!$B$33:$B$47,A34))</f>
        <v xml:space="preserve"> </v>
      </c>
      <c r="Q34" s="34">
        <f>IFERROR(INDEX('[23]Master Data'!$E$33:$E$47,MATCH(O34,'[23]Master Data'!$B$33:$B$47,0)),0)</f>
        <v>0</v>
      </c>
      <c r="R34" s="25">
        <f>Q34</f>
        <v>0</v>
      </c>
    </row>
    <row r="35" spans="1:18" ht="15.75" hidden="1" thickBot="1" x14ac:dyDescent="0.3">
      <c r="A35">
        <v>7</v>
      </c>
      <c r="C35" s="38" t="str">
        <f>IF(INDEX('[23]Master Data'!$B$33:$B$47,A35)=0," ",INDEX('[23]Master Data'!$B$33:$B$47,A35))</f>
        <v xml:space="preserve"> </v>
      </c>
      <c r="E35" s="34">
        <f>IFERROR(INDEX('[23]Master Data'!$C$33:$C$47,MATCH(C35,'[23]Master Data'!$B$33:$B$47,0)),0)</f>
        <v>0</v>
      </c>
      <c r="F35" s="25">
        <f>E35*(D4/2)</f>
        <v>0</v>
      </c>
      <c r="G35" s="37"/>
      <c r="I35" s="38" t="str">
        <f>IF(INDEX('[23]Master Data'!$B$33:$B$47,A35)=0," ",INDEX('[23]Master Data'!$B$33:$B$47,A35))</f>
        <v xml:space="preserve"> </v>
      </c>
      <c r="K35" s="34">
        <f>IFERROR(INDEX('[23]Master Data'!$D$33:$D$47,MATCH(I35,'[23]Master Data'!$B$33:$B$47,0)),0)</f>
        <v>0</v>
      </c>
      <c r="L35" s="25">
        <f>K35*(J4/2)</f>
        <v>0</v>
      </c>
      <c r="O35" s="38" t="str">
        <f>IF(INDEX('[23]Master Data'!$B$33:$B$47,A35)=0," ",INDEX('[23]Master Data'!$B$33:$B$47,A35))</f>
        <v xml:space="preserve"> </v>
      </c>
      <c r="Q35" s="34">
        <f>IFERROR(INDEX('[23]Master Data'!$E$33:$E$47,MATCH(O35,'[23]Master Data'!$B$33:$B$47,0)),0)</f>
        <v>0</v>
      </c>
      <c r="R35" s="25">
        <f>Q35*(P4/2)</f>
        <v>0</v>
      </c>
    </row>
    <row r="36" spans="1:18" ht="15.75" hidden="1" thickBot="1" x14ac:dyDescent="0.3">
      <c r="A36">
        <v>8</v>
      </c>
      <c r="C36" s="38" t="str">
        <f>IF(INDEX('[23]Master Data'!$B$33:$B$47,A36)=0," ",INDEX('[23]Master Data'!$B$33:$B$47,A36))</f>
        <v xml:space="preserve"> </v>
      </c>
      <c r="E36" s="34">
        <f>IFERROR(INDEX('[23]Master Data'!$C$33:$C$47,MATCH(C36,'[23]Master Data'!$B$33:$B$47,0)),0)</f>
        <v>0</v>
      </c>
      <c r="F36" s="25">
        <f>E36*D4</f>
        <v>0</v>
      </c>
      <c r="I36" s="38" t="str">
        <f>IF(INDEX('[23]Master Data'!$B$33:$B$47,A36)=0," ",INDEX('[23]Master Data'!$B$33:$B$47,A36))</f>
        <v xml:space="preserve"> </v>
      </c>
      <c r="K36" s="34">
        <f>IFERROR(INDEX('[23]Master Data'!$D$33:$D$47,MATCH(I36,'[23]Master Data'!$B$33:$B$47,0)),0)</f>
        <v>0</v>
      </c>
      <c r="L36" s="25">
        <f>K36*J4</f>
        <v>0</v>
      </c>
      <c r="O36" s="38" t="str">
        <f>IF(INDEX('[23]Master Data'!$B$33:$B$47,A36)=0," ",INDEX('[23]Master Data'!$B$33:$B$47,A36))</f>
        <v xml:space="preserve"> </v>
      </c>
      <c r="Q36" s="34">
        <f>IFERROR(INDEX('[23]Master Data'!$E$33:$E$47,MATCH(O36,'[23]Master Data'!$B$33:$B$47,0)),0)</f>
        <v>0</v>
      </c>
      <c r="R36" s="25">
        <f>Q36*P4</f>
        <v>0</v>
      </c>
    </row>
    <row r="37" spans="1:18" ht="15.75" hidden="1" thickBot="1" x14ac:dyDescent="0.3">
      <c r="A37">
        <v>9</v>
      </c>
      <c r="C37" s="38" t="str">
        <f>IF(INDEX('[23]Master Data'!$B$33:$B$47,A37)=0," ",INDEX('[23]Master Data'!$B$33:$B$47,A37))</f>
        <v xml:space="preserve"> </v>
      </c>
      <c r="E37" s="34">
        <f>IFERROR(INDEX('[23]Master Data'!$C$33:$C$47,MATCH(C37,'[23]Master Data'!$B$33:$B$47,0)),0)</f>
        <v>0</v>
      </c>
      <c r="F37" s="23"/>
      <c r="I37" s="38" t="str">
        <f>IF(INDEX('[23]Master Data'!$B$33:$B$47,A37)=0," ",INDEX('[23]Master Data'!$B$33:$B$47,A37))</f>
        <v xml:space="preserve"> </v>
      </c>
      <c r="K37" s="34">
        <f>IFERROR(INDEX('[23]Master Data'!$D$33:$D$47,MATCH(I37,'[23]Master Data'!$B$33:$B$47,0)),0)</f>
        <v>0</v>
      </c>
      <c r="L37" s="23"/>
      <c r="O37" s="38" t="str">
        <f>IF(INDEX('[23]Master Data'!$B$33:$B$47,A37)=0," ",INDEX('[23]Master Data'!$B$33:$B$47,A37))</f>
        <v xml:space="preserve"> </v>
      </c>
      <c r="Q37" s="34">
        <f>IFERROR(INDEX('[23]Master Data'!$E$33:$E$47,MATCH(O37,'[23]Master Data'!$B$33:$B$47,0)),0)</f>
        <v>0</v>
      </c>
      <c r="R37" s="23"/>
    </row>
    <row r="38" spans="1:18" ht="15.75" hidden="1" thickBot="1" x14ac:dyDescent="0.3">
      <c r="A38">
        <v>10</v>
      </c>
      <c r="C38" s="38" t="str">
        <f>IF(INDEX('[23]Master Data'!$B$33:$B$47,A38)=0," ",INDEX('[23]Master Data'!$B$33:$B$47,A38))</f>
        <v xml:space="preserve"> </v>
      </c>
      <c r="E38" s="34">
        <f>IFERROR(INDEX('[23]Master Data'!$C$33:$C$47,MATCH(C38,'[23]Master Data'!$B$33:$B$47,0)),0)</f>
        <v>0</v>
      </c>
      <c r="F38" s="23"/>
      <c r="I38" s="38" t="str">
        <f>IF(INDEX('[23]Master Data'!$B$33:$B$47,A38)=0," ",INDEX('[23]Master Data'!$B$33:$B$47,A38))</f>
        <v xml:space="preserve"> </v>
      </c>
      <c r="K38" s="34">
        <f>IFERROR(INDEX('[23]Master Data'!$D$33:$D$47,MATCH(I38,'[23]Master Data'!$B$33:$B$47,0)),0)</f>
        <v>0</v>
      </c>
      <c r="L38" s="23"/>
      <c r="O38" s="38" t="str">
        <f>IF(INDEX('[23]Master Data'!$B$33:$B$47,A38)=0," ",INDEX('[23]Master Data'!$B$33:$B$47,A38))</f>
        <v xml:space="preserve"> </v>
      </c>
      <c r="Q38" s="34">
        <f>IFERROR(INDEX('[23]Master Data'!$E$33:$E$47,MATCH(O38,'[23]Master Data'!$B$33:$B$47,0)),0)</f>
        <v>0</v>
      </c>
      <c r="R38" s="23"/>
    </row>
    <row r="39" spans="1:18" ht="15.75" hidden="1" thickBot="1" x14ac:dyDescent="0.3">
      <c r="A39">
        <v>11</v>
      </c>
      <c r="C39" s="38" t="str">
        <f>IF(INDEX('[23]Master Data'!$B$33:$B$47,A39)=0," ",INDEX('[23]Master Data'!$B$33:$B$47,A39))</f>
        <v xml:space="preserve"> </v>
      </c>
      <c r="E39" s="34">
        <f>IFERROR(INDEX('[23]Master Data'!$C$33:$C$47,MATCH(C39,'[23]Master Data'!$B$33:$B$47,0)),0)</f>
        <v>0</v>
      </c>
      <c r="F39" s="23"/>
      <c r="I39" s="38" t="str">
        <f>IF(INDEX('[23]Master Data'!$B$33:$B$47,A39)=0," ",INDEX('[23]Master Data'!$B$33:$B$47,A39))</f>
        <v xml:space="preserve"> </v>
      </c>
      <c r="K39" s="34">
        <f>IFERROR(INDEX('[23]Master Data'!$D$33:$D$47,MATCH(I39,'[23]Master Data'!$B$33:$B$47,0)),0)</f>
        <v>0</v>
      </c>
      <c r="L39" s="23"/>
      <c r="O39" s="38" t="str">
        <f>IF(INDEX('[23]Master Data'!$B$33:$B$47,A39)=0," ",INDEX('[23]Master Data'!$B$33:$B$47,A39))</f>
        <v xml:space="preserve"> </v>
      </c>
      <c r="Q39" s="34">
        <f>IFERROR(INDEX('[23]Master Data'!$E$33:$E$47,MATCH(O39,'[23]Master Data'!$B$33:$B$47,0)),0)</f>
        <v>0</v>
      </c>
      <c r="R39" s="23"/>
    </row>
    <row r="40" spans="1:18" ht="15.75" hidden="1" thickBot="1" x14ac:dyDescent="0.3">
      <c r="A40">
        <v>12</v>
      </c>
      <c r="C40" s="38" t="str">
        <f>IF(INDEX('[23]Master Data'!$B$33:$B$47,A40)=0," ",INDEX('[23]Master Data'!$B$33:$B$47,A40))</f>
        <v xml:space="preserve"> </v>
      </c>
      <c r="E40" s="34">
        <f>IFERROR(INDEX('[23]Master Data'!$C$33:$C$47,MATCH(C40,'[23]Master Data'!$B$33:$B$47,0)),0)</f>
        <v>0</v>
      </c>
      <c r="F40" s="23"/>
      <c r="I40" s="38" t="str">
        <f>IF(INDEX('[23]Master Data'!$B$33:$B$47,A40)=0," ",INDEX('[23]Master Data'!$B$33:$B$47,A40))</f>
        <v xml:space="preserve"> </v>
      </c>
      <c r="K40" s="34">
        <f>IFERROR(INDEX('[23]Master Data'!$D$33:$D$47,MATCH(I40,'[23]Master Data'!$B$33:$B$47,0)),0)</f>
        <v>0</v>
      </c>
      <c r="L40" s="23"/>
      <c r="O40" s="38" t="str">
        <f>IF(INDEX('[23]Master Data'!$B$33:$B$47,A40)=0," ",INDEX('[23]Master Data'!$B$33:$B$47,A40))</f>
        <v xml:space="preserve"> </v>
      </c>
      <c r="Q40" s="34">
        <f>IFERROR(INDEX('[23]Master Data'!$E$33:$E$47,MATCH(O40,'[23]Master Data'!$B$33:$B$47,0)),0)</f>
        <v>0</v>
      </c>
      <c r="R40" s="23"/>
    </row>
    <row r="41" spans="1:18" ht="15.75" hidden="1" thickBot="1" x14ac:dyDescent="0.3">
      <c r="A41">
        <v>13</v>
      </c>
      <c r="C41" s="38" t="str">
        <f>IF(INDEX('[23]Master Data'!$B$33:$B$47,A41)=0," ",INDEX('[23]Master Data'!$B$33:$B$47,A41))</f>
        <v xml:space="preserve"> </v>
      </c>
      <c r="E41" s="34">
        <f>IFERROR(INDEX('[23]Master Data'!$C$33:$C$47,MATCH(C41,'[23]Master Data'!$B$33:$B$47,0)),0)</f>
        <v>0</v>
      </c>
      <c r="F41" s="23"/>
      <c r="I41" s="38" t="str">
        <f>IF(INDEX('[23]Master Data'!$B$33:$B$47,A41)=0," ",INDEX('[23]Master Data'!$B$33:$B$47,A41))</f>
        <v xml:space="preserve"> </v>
      </c>
      <c r="K41" s="34">
        <f>IFERROR(INDEX('[23]Master Data'!$D$33:$D$47,MATCH(I41,'[23]Master Data'!$B$33:$B$47,0)),0)</f>
        <v>0</v>
      </c>
      <c r="L41" s="23"/>
      <c r="O41" s="38" t="str">
        <f>IF(INDEX('[23]Master Data'!$B$33:$B$47,A41)=0," ",INDEX('[23]Master Data'!$B$33:$B$47,A41))</f>
        <v xml:space="preserve"> </v>
      </c>
      <c r="Q41" s="34">
        <f>IFERROR(INDEX('[23]Master Data'!$E$33:$E$47,MATCH(O41,'[23]Master Data'!$B$33:$B$47,0)),0)</f>
        <v>0</v>
      </c>
      <c r="R41" s="23"/>
    </row>
    <row r="42" spans="1:18" ht="15.75" hidden="1" thickBot="1" x14ac:dyDescent="0.3">
      <c r="A42">
        <v>14</v>
      </c>
      <c r="C42" s="38" t="str">
        <f>IF(INDEX('[23]Master Data'!$B$33:$B$47,A42)=0," ",INDEX('[23]Master Data'!$B$33:$B$47,A42))</f>
        <v xml:space="preserve"> </v>
      </c>
      <c r="E42" s="34">
        <f>IFERROR(INDEX('[23]Master Data'!$C$33:$C$47,MATCH(C42,'[23]Master Data'!$B$33:$B$47,0)),0)</f>
        <v>0</v>
      </c>
      <c r="F42" s="23"/>
      <c r="I42" s="38" t="str">
        <f>IF(INDEX('[23]Master Data'!$B$33:$B$47,A42)=0," ",INDEX('[23]Master Data'!$B$33:$B$47,A42))</f>
        <v xml:space="preserve"> </v>
      </c>
      <c r="K42" s="34">
        <f>IFERROR(INDEX('[23]Master Data'!$D$33:$D$47,MATCH(I42,'[23]Master Data'!$B$33:$B$47,0)),0)</f>
        <v>0</v>
      </c>
      <c r="L42" s="23"/>
      <c r="O42" s="38" t="str">
        <f>IF(INDEX('[23]Master Data'!$B$33:$B$47,A42)=0," ",INDEX('[23]Master Data'!$B$33:$B$47,A42))</f>
        <v xml:space="preserve"> </v>
      </c>
      <c r="Q42" s="34">
        <f>IFERROR(INDEX('[23]Master Data'!$E$33:$E$47,MATCH(O42,'[23]Master Data'!$B$33:$B$47,0)),0)</f>
        <v>0</v>
      </c>
      <c r="R42" s="23"/>
    </row>
    <row r="43" spans="1:18" ht="15.75" hidden="1" thickBot="1" x14ac:dyDescent="0.3">
      <c r="A43">
        <v>15</v>
      </c>
      <c r="C43" s="38" t="str">
        <f>IF(INDEX('[23]Master Data'!$B$33:$B$47,A43)=0," ",INDEX('[23]Master Data'!$B$33:$B$47,A43))</f>
        <v xml:space="preserve"> </v>
      </c>
      <c r="E43" s="34">
        <f>IFERROR(INDEX('[23]Master Data'!$C$33:$C$47,MATCH(C43,'[23]Master Data'!$B$33:$B$47,0)),0)</f>
        <v>0</v>
      </c>
      <c r="F43" s="23"/>
      <c r="I43" s="38" t="str">
        <f>IF(INDEX('[23]Master Data'!$B$33:$B$47,A43)=0," ",INDEX('[23]Master Data'!$B$33:$B$47,A43))</f>
        <v xml:space="preserve"> </v>
      </c>
      <c r="K43" s="34">
        <f>IFERROR(INDEX('[23]Master Data'!$D$33:$D$47,MATCH(I43,'[23]Master Data'!$B$33:$B$47,0)),0)</f>
        <v>0</v>
      </c>
      <c r="L43" s="23"/>
      <c r="O43" s="38" t="str">
        <f>IF(INDEX('[23]Master Data'!$B$33:$B$47,A43)=0," ",INDEX('[23]Master Data'!$B$33:$B$47,A43))</f>
        <v xml:space="preserve"> </v>
      </c>
      <c r="Q43" s="34">
        <f>IFERROR(INDEX('[23]Master Data'!$E$33:$E$47,MATCH(O43,'[23]Master Data'!$B$33:$B$47,0)),0)</f>
        <v>0</v>
      </c>
      <c r="R43" s="23"/>
    </row>
    <row r="44" spans="1:18" ht="15.75" hidden="1" thickBot="1" x14ac:dyDescent="0.3">
      <c r="C44" s="7"/>
      <c r="E44" s="39"/>
      <c r="F44" s="40"/>
      <c r="I44" s="7" t="str">
        <f>IF(INDEX('[23]Master Data'!$B$33:$B$47,A44)=0," ",INDEX('[23]Master Data'!$B$33:$B$47,A44))</f>
        <v xml:space="preserve"> </v>
      </c>
      <c r="K44" s="39"/>
      <c r="L44" s="40"/>
      <c r="O44" s="7" t="str">
        <f>IF(INDEX('[23]Master Data'!$B$33:$B$47,A44)=0," ",INDEX('[23]Master Data'!$B$33:$B$47,A44))</f>
        <v xml:space="preserve"> </v>
      </c>
      <c r="Q44" s="39"/>
      <c r="R44" s="40"/>
    </row>
    <row r="45" spans="1:18" ht="15.75" thickBot="1" x14ac:dyDescent="0.3">
      <c r="C45" s="26" t="s">
        <v>15</v>
      </c>
      <c r="D45" s="41"/>
      <c r="E45" s="41"/>
      <c r="F45" s="42">
        <f>SUM(F29:F43)</f>
        <v>56401.046442013067</v>
      </c>
      <c r="I45" s="26" t="s">
        <v>15</v>
      </c>
      <c r="J45" s="41"/>
      <c r="K45" s="41"/>
      <c r="L45" s="42">
        <f>SUM(L29:L43)</f>
        <v>66088.044505157784</v>
      </c>
      <c r="O45" s="26" t="s">
        <v>15</v>
      </c>
      <c r="P45" s="41"/>
      <c r="Q45" s="41"/>
      <c r="R45" s="42">
        <f>SUM(R29:R43)</f>
        <v>92181.186622426569</v>
      </c>
    </row>
    <row r="46" spans="1:18" ht="15.75" thickBot="1" x14ac:dyDescent="0.3"/>
    <row r="47" spans="1:18" ht="15.75" thickBot="1" x14ac:dyDescent="0.3">
      <c r="C47" s="1258" t="s">
        <v>16</v>
      </c>
      <c r="D47" s="1259"/>
      <c r="E47" s="1259"/>
      <c r="F47" s="1260"/>
      <c r="I47" s="1258" t="s">
        <v>16</v>
      </c>
      <c r="J47" s="1259"/>
      <c r="K47" s="1259"/>
      <c r="L47" s="1260"/>
      <c r="O47" s="1258" t="s">
        <v>16</v>
      </c>
      <c r="P47" s="1259"/>
      <c r="Q47" s="1259"/>
      <c r="R47" s="1260"/>
    </row>
    <row r="48" spans="1:18" x14ac:dyDescent="0.25">
      <c r="C48" s="43"/>
      <c r="D48" s="43"/>
      <c r="E48" s="43"/>
      <c r="F48" s="43"/>
      <c r="I48" s="43"/>
      <c r="J48" s="43"/>
      <c r="K48" s="43"/>
      <c r="L48" s="43"/>
      <c r="O48" s="43"/>
      <c r="P48" s="43"/>
      <c r="Q48" s="43"/>
      <c r="R48" s="43"/>
    </row>
    <row r="49" spans="1:18" x14ac:dyDescent="0.25">
      <c r="C49" s="29"/>
      <c r="D49" s="30" t="s">
        <v>17</v>
      </c>
      <c r="E49" s="33"/>
      <c r="F49" s="32" t="s">
        <v>14</v>
      </c>
      <c r="I49" s="29"/>
      <c r="J49" s="30" t="s">
        <v>17</v>
      </c>
      <c r="K49" s="33"/>
      <c r="L49" s="32" t="s">
        <v>14</v>
      </c>
      <c r="O49" s="29"/>
      <c r="P49" s="30" t="s">
        <v>17</v>
      </c>
      <c r="Q49" s="33"/>
      <c r="R49" s="32" t="s">
        <v>14</v>
      </c>
    </row>
    <row r="50" spans="1:18" x14ac:dyDescent="0.25">
      <c r="A50">
        <v>16</v>
      </c>
      <c r="C50" s="7"/>
      <c r="D50" s="44"/>
      <c r="F50" s="25"/>
      <c r="I50" s="7"/>
      <c r="J50" s="44"/>
      <c r="L50" s="25"/>
      <c r="O50" s="7"/>
      <c r="P50" s="44"/>
      <c r="R50" s="25"/>
    </row>
    <row r="51" spans="1:18" x14ac:dyDescent="0.25">
      <c r="A51">
        <v>17</v>
      </c>
      <c r="C51" s="7" t="str">
        <f>IF(INDEX('[23]Master Data'!$B$33:$B$53,A51)=0," ",INDEX('[23]Master Data'!$B$33:$B$53,A51))</f>
        <v>Admin. Allocation</v>
      </c>
      <c r="D51" s="44">
        <f>INDEX('[23]Master Data'!$C$48:$C$53,MATCH(C51,'[23]Master Data'!$B$48:$B$53,0))</f>
        <v>0.12</v>
      </c>
      <c r="F51" s="25">
        <f>(F45+F25+F50)*D51</f>
        <v>32911.528701169569</v>
      </c>
      <c r="I51" s="7" t="str">
        <f>IF(INDEX('[23]Master Data'!$B$33:$B$53,A51)=0," ",INDEX('[23]Master Data'!$B$33:$B$53,A51))</f>
        <v>Admin. Allocation</v>
      </c>
      <c r="J51" s="44">
        <f>INDEX('[23]Master Data'!$D$48:$D$53,MATCH(I51,'[23]Master Data'!$B$48:$B$53,0))</f>
        <v>0.12</v>
      </c>
      <c r="L51" s="25">
        <f>(L45+L25+L50)*J51</f>
        <v>38506.343316676532</v>
      </c>
      <c r="O51" s="7" t="str">
        <f>IF(INDEX('[23]Master Data'!$B$33:$B$53,A51)=0," ",INDEX('[23]Master Data'!$B$33:$B$53,A51))</f>
        <v>Admin. Allocation</v>
      </c>
      <c r="P51" s="44">
        <f>INDEX('[23]Master Data'!$E$48:$E$53,MATCH(O51,'[23]Master Data'!$B$48:$B$53,0))</f>
        <v>0.12</v>
      </c>
      <c r="R51" s="25">
        <f>(R45+R25+R50)*P51</f>
        <v>49318.881292726386</v>
      </c>
    </row>
    <row r="52" spans="1:18" x14ac:dyDescent="0.25">
      <c r="A52">
        <v>18</v>
      </c>
      <c r="C52" s="7" t="str">
        <f>IF(INDEX('[23]Master Data'!$B$33:$B$53,A52)=0," ",INDEX('[23]Master Data'!$B$33:$B$53,A52))</f>
        <v xml:space="preserve">Average Caregiver Stipend </v>
      </c>
      <c r="D52" s="45">
        <f>INDEX('[23]Master Data'!$C$48:$C$53,MATCH(C52,'[23]Master Data'!$B$48:$B$53,0))</f>
        <v>46986.820417727235</v>
      </c>
      <c r="F52" s="23"/>
      <c r="I52" s="7" t="str">
        <f>IF(INDEX('[23]Master Data'!$B$33:$B$53,A52)=0," ",INDEX('[23]Master Data'!$B$33:$B$53,A52))</f>
        <v xml:space="preserve">Average Caregiver Stipend </v>
      </c>
      <c r="J52" s="45">
        <f>INDEX('[23]Master Data'!$D$48:$D$53,MATCH(I52,'[23]Master Data'!$B$48:$B$53,0))</f>
        <v>46986.820417727235</v>
      </c>
      <c r="L52" s="23"/>
      <c r="O52" s="7" t="str">
        <f>IF(INDEX('[23]Master Data'!$B$33:$B$53,A52)=0," ",INDEX('[23]Master Data'!$B$33:$B$53,A52))</f>
        <v xml:space="preserve">Average Caregiver Stipend </v>
      </c>
      <c r="P52" s="45">
        <f>INDEX('[23]Master Data'!$E$48:$E$53,MATCH(O52,'[23]Master Data'!$B$48:$B$53,0))</f>
        <v>46986.820417727235</v>
      </c>
      <c r="R52" s="23"/>
    </row>
    <row r="53" spans="1:18" x14ac:dyDescent="0.25">
      <c r="A53">
        <v>19</v>
      </c>
      <c r="C53" s="7" t="str">
        <f>IF(INDEX('[23]Master Data'!$B$33:$B$53,A53)=0," ",INDEX('[23]Master Data'!$B$33:$B$53,A53))</f>
        <v>Caregiver Admin %</v>
      </c>
      <c r="D53" s="44">
        <f>INDEX('[23]Master Data'!$C$48:$C$53,MATCH(C53,'[23]Master Data'!$B$48:$B$53,0))</f>
        <v>0.05</v>
      </c>
      <c r="E53" s="37">
        <f>D53*D52*D4</f>
        <v>35240.115313295428</v>
      </c>
      <c r="F53" s="25">
        <f>E53</f>
        <v>35240.115313295428</v>
      </c>
      <c r="I53" s="7" t="str">
        <f>IF(INDEX('[23]Master Data'!$B$33:$B$53,A53)=0," ",INDEX('[23]Master Data'!$B$33:$B$53,A53))</f>
        <v>Caregiver Admin %</v>
      </c>
      <c r="J53" s="44">
        <f>INDEX('[23]Master Data'!$D$48:$D$53,MATCH(I53,'[23]Master Data'!$B$48:$B$53,0))</f>
        <v>0.05</v>
      </c>
      <c r="K53" s="37">
        <f>J53*J52*J4</f>
        <v>25842.751229749982</v>
      </c>
      <c r="L53" s="25">
        <f>K53</f>
        <v>25842.751229749982</v>
      </c>
      <c r="O53" s="7" t="str">
        <f>IF(INDEX('[23]Master Data'!$B$33:$B$53,A53)=0," ",INDEX('[23]Master Data'!$B$33:$B$53,A53))</f>
        <v>Caregiver Admin %</v>
      </c>
      <c r="P53" s="44">
        <f>INDEX('[23]Master Data'!$E$48:$E$53,MATCH(O53,'[23]Master Data'!$B$48:$B$53,0))</f>
        <v>0.05</v>
      </c>
      <c r="Q53" s="37">
        <f>P53*P52*P4</f>
        <v>18794.728167090896</v>
      </c>
      <c r="R53" s="25">
        <f>Q53</f>
        <v>18794.728167090896</v>
      </c>
    </row>
    <row r="54" spans="1:18" ht="15.75" thickBot="1" x14ac:dyDescent="0.3">
      <c r="C54" s="22"/>
      <c r="F54" s="23"/>
      <c r="I54" s="22"/>
      <c r="L54" s="23"/>
      <c r="O54" s="22"/>
      <c r="R54" s="23"/>
    </row>
    <row r="55" spans="1:18" ht="15.75" thickBot="1" x14ac:dyDescent="0.3">
      <c r="C55" s="26" t="s">
        <v>18</v>
      </c>
      <c r="D55" s="41"/>
      <c r="E55" s="41"/>
      <c r="F55" s="46">
        <f>SUM(F25,F45,F50:F54)</f>
        <v>342414.38319087814</v>
      </c>
      <c r="I55" s="26" t="s">
        <v>18</v>
      </c>
      <c r="J55" s="41"/>
      <c r="K55" s="41"/>
      <c r="L55" s="46">
        <f>SUM(L25,L45,L50:L54)</f>
        <v>385235.28885206429</v>
      </c>
      <c r="O55" s="26" t="s">
        <v>18</v>
      </c>
      <c r="P55" s="41"/>
      <c r="Q55" s="41"/>
      <c r="R55" s="46">
        <f>SUM(R25,R45,R50:R54)</f>
        <v>479104.28689920384</v>
      </c>
    </row>
    <row r="57" spans="1:18" x14ac:dyDescent="0.25">
      <c r="A57">
        <v>20</v>
      </c>
      <c r="C57" s="47" t="str">
        <f>IF(INDEX('[23]Master Data'!$B$33:$B$53,A57)=0," ",INDEX('[23]Master Data'!$B$33:$B$53,A57))</f>
        <v>FY25 CAF</v>
      </c>
      <c r="D57" s="48">
        <f>INDEX('[23]Master Data'!$C$48:$C$53,MATCH(C57,'[23]Master Data'!$B$48:$B$53,0))</f>
        <v>2.5758086673353865E-2</v>
      </c>
      <c r="E57" s="49"/>
      <c r="F57" s="50">
        <f>D57*F55</f>
        <v>8819.9393604336419</v>
      </c>
      <c r="I57" s="47" t="str">
        <f>IF(INDEX('[23]Master Data'!$B$33:$B$53,A57)=0," ",INDEX('[23]Master Data'!$B$33:$B$53,A57))</f>
        <v>FY25 CAF</v>
      </c>
      <c r="J57" s="48">
        <f>INDEX('[23]Master Data'!$D$48:$D$53,MATCH(I57,'[23]Master Data'!$B$48:$B$53,0))</f>
        <v>2.5758086673353865E-2</v>
      </c>
      <c r="K57" s="49"/>
      <c r="L57" s="50">
        <f>J57*L55</f>
        <v>9922.923959885984</v>
      </c>
      <c r="O57" s="47" t="str">
        <f>IF(INDEX('[23]Master Data'!$B$33:$B$53,A57)=0," ",INDEX('[23]Master Data'!$B$33:$B$53,A57))</f>
        <v>FY25 CAF</v>
      </c>
      <c r="P57" s="48">
        <f>INDEX('[23]Master Data'!$E$48:$E$53,MATCH(O57,'[23]Master Data'!$B$48:$B$53,0))</f>
        <v>2.5758086673353865E-2</v>
      </c>
      <c r="Q57" s="49"/>
      <c r="R57" s="50">
        <f>P57*R55</f>
        <v>12340.809747525089</v>
      </c>
    </row>
    <row r="58" spans="1:18" ht="15.75" thickBot="1" x14ac:dyDescent="0.3">
      <c r="D58" s="24"/>
      <c r="F58" s="37"/>
      <c r="J58" s="24"/>
      <c r="L58" s="37"/>
      <c r="P58" s="24"/>
      <c r="R58" s="37"/>
    </row>
    <row r="59" spans="1:18" ht="15.75" thickBot="1" x14ac:dyDescent="0.3">
      <c r="C59" s="26" t="s">
        <v>19</v>
      </c>
      <c r="D59" s="51"/>
      <c r="E59" s="27"/>
      <c r="F59" s="52">
        <f>F55+F57</f>
        <v>351234.32255131181</v>
      </c>
      <c r="I59" s="26" t="s">
        <v>19</v>
      </c>
      <c r="J59" s="51"/>
      <c r="K59" s="27"/>
      <c r="L59" s="52">
        <f>L55+L57</f>
        <v>395158.21281195024</v>
      </c>
      <c r="O59" s="26" t="s">
        <v>19</v>
      </c>
      <c r="P59" s="51"/>
      <c r="Q59" s="27"/>
      <c r="R59" s="52">
        <f>R55+R57</f>
        <v>491445.09664672893</v>
      </c>
    </row>
    <row r="60" spans="1:18" x14ac:dyDescent="0.25">
      <c r="D60" s="24"/>
      <c r="F60" s="37"/>
      <c r="J60" s="24"/>
      <c r="L60" s="37"/>
      <c r="P60" s="24"/>
      <c r="R60" s="37"/>
    </row>
    <row r="61" spans="1:18" ht="15.75" thickBot="1" x14ac:dyDescent="0.3">
      <c r="C61" s="29" t="s">
        <v>20</v>
      </c>
      <c r="D61" s="53"/>
      <c r="E61" s="33"/>
      <c r="F61" s="35">
        <f>F59/F4</f>
        <v>64.152387680604903</v>
      </c>
      <c r="I61" s="29" t="s">
        <v>20</v>
      </c>
      <c r="J61" s="53"/>
      <c r="K61" s="33"/>
      <c r="L61" s="35">
        <f>L59/L4</f>
        <v>98.42047641642597</v>
      </c>
      <c r="O61" s="29" t="s">
        <v>20</v>
      </c>
      <c r="P61" s="53"/>
      <c r="Q61" s="33"/>
      <c r="R61" s="35">
        <f>R59/R4</f>
        <v>168.30311528997566</v>
      </c>
    </row>
    <row r="62" spans="1:18" ht="15.75" thickBot="1" x14ac:dyDescent="0.3">
      <c r="A62">
        <v>21</v>
      </c>
      <c r="C62" s="54" t="str">
        <f>IF(INDEX('[23]Master Data'!$B$33:$B$53,A62)=0," ",INDEX('[23]Master Data'!$B$33:$B$53,A62))</f>
        <v>Utilization Rate</v>
      </c>
      <c r="D62" s="55">
        <f>INDEX('[23]Master Data'!$C$48:$C$53,MATCH(C62,'[23]Master Data'!$B$48:$B$53,0))</f>
        <v>0.95</v>
      </c>
      <c r="E62" s="56"/>
      <c r="F62" s="57">
        <f>F61/D62</f>
        <v>67.528829137478851</v>
      </c>
      <c r="I62" s="54" t="str">
        <f>IF(INDEX('[23]Master Data'!$B$33:$B$53,A62)=0," ",INDEX('[23]Master Data'!$B$33:$B$53,A62))</f>
        <v>Utilization Rate</v>
      </c>
      <c r="J62" s="55">
        <f>INDEX('[23]Master Data'!$D$48:$D$53,MATCH(C62,'[23]Master Data'!$B$48:$B$53,0))</f>
        <v>0.95</v>
      </c>
      <c r="K62" s="56"/>
      <c r="L62" s="57">
        <f>L61/J62</f>
        <v>103.60050149097471</v>
      </c>
      <c r="O62" s="54" t="str">
        <f>IF(INDEX('[23]Master Data'!$B$33:$B$53,A62)=0," ",INDEX('[23]Master Data'!$B$33:$B$53,A62))</f>
        <v>Utilization Rate</v>
      </c>
      <c r="P62" s="55">
        <f>INDEX('[23]Master Data'!$E$48:$E$53,MATCH(C62,'[23]Master Data'!$B$48:$B$53,0))</f>
        <v>0.95</v>
      </c>
      <c r="Q62" s="56"/>
      <c r="R62" s="57">
        <f>R61/P62</f>
        <v>177.16117398944809</v>
      </c>
    </row>
    <row r="63" spans="1:18" x14ac:dyDescent="0.25">
      <c r="E63" s="58" t="s">
        <v>21</v>
      </c>
      <c r="F63" s="59">
        <v>55.81</v>
      </c>
      <c r="K63" s="58" t="s">
        <v>21</v>
      </c>
      <c r="L63" s="59">
        <v>78.05</v>
      </c>
      <c r="Q63" s="58" t="s">
        <v>21</v>
      </c>
      <c r="R63" s="59">
        <v>125.37</v>
      </c>
    </row>
    <row r="64" spans="1:18" x14ac:dyDescent="0.25">
      <c r="F64" s="60">
        <f>(F62-F63)/F63</f>
        <v>0.20997722876686703</v>
      </c>
      <c r="L64" s="60">
        <f>(L62-L63)/L63</f>
        <v>0.32736068534240503</v>
      </c>
      <c r="R64" s="60">
        <f>(R62-R63)/R63</f>
        <v>0.41310659639026948</v>
      </c>
    </row>
    <row r="66" spans="6:18" x14ac:dyDescent="0.25">
      <c r="F66" s="37"/>
      <c r="L66" s="37"/>
      <c r="R66" s="37"/>
    </row>
  </sheetData>
  <mergeCells count="12">
    <mergeCell ref="C2:F2"/>
    <mergeCell ref="I2:L2"/>
    <mergeCell ref="O2:R2"/>
    <mergeCell ref="C3:F3"/>
    <mergeCell ref="I3:L3"/>
    <mergeCell ref="O3:R3"/>
    <mergeCell ref="C27:F27"/>
    <mergeCell ref="I27:L27"/>
    <mergeCell ref="O27:R27"/>
    <mergeCell ref="C47:F47"/>
    <mergeCell ref="I47:L47"/>
    <mergeCell ref="O47:R4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FE1F-97AE-457F-A110-0467F8C17974}">
  <dimension ref="A2:F43"/>
  <sheetViews>
    <sheetView topLeftCell="B1" zoomScale="80" zoomScaleNormal="80" workbookViewId="0">
      <selection activeCell="L38" sqref="L38"/>
    </sheetView>
  </sheetViews>
  <sheetFormatPr defaultRowHeight="15" x14ac:dyDescent="0.25"/>
  <cols>
    <col min="1" max="1" width="0" hidden="1" customWidth="1"/>
    <col min="2" max="2" width="4.140625" customWidth="1"/>
    <col min="3" max="3" width="33.42578125" customWidth="1"/>
    <col min="4" max="4" width="13.85546875" customWidth="1"/>
    <col min="6" max="6" width="18.85546875" customWidth="1"/>
  </cols>
  <sheetData>
    <row r="2" spans="1:6" x14ac:dyDescent="0.25">
      <c r="C2" s="1265" t="s">
        <v>73</v>
      </c>
      <c r="D2" s="1266"/>
      <c r="E2" s="1266"/>
      <c r="F2" s="1267"/>
    </row>
    <row r="3" spans="1:6" x14ac:dyDescent="0.25">
      <c r="C3" s="166" t="s">
        <v>74</v>
      </c>
      <c r="D3" s="1268"/>
      <c r="E3" s="1268"/>
      <c r="F3" s="167">
        <v>780</v>
      </c>
    </row>
    <row r="4" spans="1:6" x14ac:dyDescent="0.25">
      <c r="C4" s="168" t="s">
        <v>75</v>
      </c>
      <c r="D4" s="169" t="s">
        <v>7</v>
      </c>
      <c r="E4" s="169" t="s">
        <v>8</v>
      </c>
      <c r="F4" s="170" t="s">
        <v>76</v>
      </c>
    </row>
    <row r="5" spans="1:6" x14ac:dyDescent="0.25">
      <c r="A5">
        <v>1</v>
      </c>
      <c r="C5" s="22" t="s">
        <v>77</v>
      </c>
      <c r="D5" s="45">
        <f>IFERROR(INDEX('[23]Master Data'!$D$4:$D$18,MATCH(C5,'[23]Master Data'!$C$4:$C$18,0)),"")</f>
        <v>79415.232000000018</v>
      </c>
      <c r="E5" s="171">
        <v>0.05</v>
      </c>
      <c r="F5" s="172">
        <f>IFERROR(D5*E5,0)</f>
        <v>3970.7616000000012</v>
      </c>
    </row>
    <row r="6" spans="1:6" x14ac:dyDescent="0.25">
      <c r="A6">
        <v>2</v>
      </c>
      <c r="C6" s="22" t="s">
        <v>78</v>
      </c>
      <c r="D6" s="45">
        <f>IFERROR(INDEX('[23]Master Data'!$D$4:$D$18,MATCH(C6,'[23]Master Data'!$C$4:$C$18,0)),"")</f>
        <v>58616.063999999998</v>
      </c>
      <c r="E6" s="171">
        <v>8.851063829787234E-2</v>
      </c>
      <c r="F6" s="172">
        <f t="shared" ref="F6:F13" si="0">IFERROR(D6*E6,0)</f>
        <v>5188.1452391489356</v>
      </c>
    </row>
    <row r="7" spans="1:6" hidden="1" x14ac:dyDescent="0.25">
      <c r="A7">
        <v>3</v>
      </c>
      <c r="C7" s="22" t="s">
        <v>79</v>
      </c>
      <c r="D7" s="45" t="str">
        <f>IFERROR(INDEX('[23]Master Data'!$D$4:$D$18,MATCH(C7,'[23]Master Data'!$C$4:$C$18,0)),"")</f>
        <v/>
      </c>
      <c r="E7" s="171" t="s">
        <v>79</v>
      </c>
      <c r="F7" s="172">
        <f t="shared" si="0"/>
        <v>0</v>
      </c>
    </row>
    <row r="8" spans="1:6" hidden="1" x14ac:dyDescent="0.25">
      <c r="A8">
        <v>4</v>
      </c>
      <c r="C8" s="173" t="s">
        <v>79</v>
      </c>
      <c r="D8" s="174" t="str">
        <f>IFERROR(INDEX('[23]Master Data'!$D$4:$D$18,MATCH(C8,'[23]Master Data'!$C$4:$C$18,0)),"")</f>
        <v/>
      </c>
      <c r="E8" s="175" t="s">
        <v>79</v>
      </c>
      <c r="F8" s="176">
        <f t="shared" si="0"/>
        <v>0</v>
      </c>
    </row>
    <row r="9" spans="1:6" hidden="1" x14ac:dyDescent="0.25">
      <c r="A9">
        <v>5</v>
      </c>
      <c r="C9" s="173" t="s">
        <v>79</v>
      </c>
      <c r="D9" s="174" t="str">
        <f>IFERROR(INDEX('[23]Master Data'!$D$4:$D$18,MATCH(C9,'[23]Master Data'!$C$4:$C$18,0)),"")</f>
        <v/>
      </c>
      <c r="E9" s="175" t="s">
        <v>79</v>
      </c>
      <c r="F9" s="176">
        <f t="shared" si="0"/>
        <v>0</v>
      </c>
    </row>
    <row r="10" spans="1:6" hidden="1" x14ac:dyDescent="0.25">
      <c r="A10">
        <v>6</v>
      </c>
      <c r="C10" s="173" t="s">
        <v>79</v>
      </c>
      <c r="D10" s="174" t="str">
        <f>IFERROR(INDEX('[23]Master Data'!$D$4:$D$18,MATCH(C10,'[23]Master Data'!$C$4:$C$18,0)),"")</f>
        <v/>
      </c>
      <c r="E10" s="175" t="s">
        <v>79</v>
      </c>
      <c r="F10" s="176">
        <f t="shared" si="0"/>
        <v>0</v>
      </c>
    </row>
    <row r="11" spans="1:6" hidden="1" x14ac:dyDescent="0.25">
      <c r="A11">
        <v>7</v>
      </c>
      <c r="C11" s="173" t="s">
        <v>79</v>
      </c>
      <c r="D11" s="174" t="str">
        <f>IFERROR(INDEX('[23]Master Data'!$D$4:$D$18,MATCH(C11,'[23]Master Data'!$C$4:$C$18,0)),"")</f>
        <v/>
      </c>
      <c r="E11" s="175" t="s">
        <v>79</v>
      </c>
      <c r="F11" s="176">
        <f t="shared" si="0"/>
        <v>0</v>
      </c>
    </row>
    <row r="12" spans="1:6" hidden="1" x14ac:dyDescent="0.25">
      <c r="A12">
        <v>8</v>
      </c>
      <c r="C12" s="173" t="s">
        <v>79</v>
      </c>
      <c r="D12" s="174" t="str">
        <f>IFERROR(INDEX('[23]Master Data'!$D$4:$D$18,MATCH(C12,'[23]Master Data'!$C$4:$C$18,0)),"")</f>
        <v/>
      </c>
      <c r="E12" s="175" t="s">
        <v>79</v>
      </c>
      <c r="F12" s="176">
        <f t="shared" si="0"/>
        <v>0</v>
      </c>
    </row>
    <row r="13" spans="1:6" hidden="1" x14ac:dyDescent="0.25">
      <c r="A13">
        <v>9</v>
      </c>
      <c r="C13" s="173" t="s">
        <v>79</v>
      </c>
      <c r="D13" s="174" t="str">
        <f>IFERROR(INDEX('[23]Master Data'!$D$4:$D$18,MATCH(C13,'[23]Master Data'!$C$4:$C$18,0)),"")</f>
        <v/>
      </c>
      <c r="E13" s="175" t="s">
        <v>79</v>
      </c>
      <c r="F13" s="176">
        <f t="shared" si="0"/>
        <v>0</v>
      </c>
    </row>
    <row r="14" spans="1:6" hidden="1" x14ac:dyDescent="0.25">
      <c r="A14">
        <v>10</v>
      </c>
      <c r="C14" s="173" t="s">
        <v>79</v>
      </c>
      <c r="D14" s="174" t="str">
        <f>IFERROR(INDEX('[23]Master Data'!$D$4:$D$18,MATCH(C14,'[23]Master Data'!$C$4:$C$18,0)),"")</f>
        <v/>
      </c>
      <c r="E14" s="175" t="s">
        <v>79</v>
      </c>
      <c r="F14" s="176"/>
    </row>
    <row r="15" spans="1:6" x14ac:dyDescent="0.25">
      <c r="C15" s="177" t="s">
        <v>80</v>
      </c>
      <c r="D15" s="178"/>
      <c r="E15" s="179">
        <f>SUM(E5:E14)</f>
        <v>0.13851063829787236</v>
      </c>
      <c r="F15" s="180">
        <f>SUM(F5:F14)</f>
        <v>9158.9068391489363</v>
      </c>
    </row>
    <row r="16" spans="1:6" x14ac:dyDescent="0.25">
      <c r="C16" s="22"/>
      <c r="F16" s="23"/>
    </row>
    <row r="17" spans="1:6" x14ac:dyDescent="0.25">
      <c r="C17" s="181" t="s">
        <v>81</v>
      </c>
      <c r="D17" s="182">
        <f>'[23]Master Data'!C24</f>
        <v>0.27379999999999999</v>
      </c>
      <c r="E17" s="183"/>
      <c r="F17" s="184">
        <f>F15*D17</f>
        <v>2507.7086925589788</v>
      </c>
    </row>
    <row r="18" spans="1:6" x14ac:dyDescent="0.25">
      <c r="C18" s="185" t="s">
        <v>12</v>
      </c>
      <c r="D18" s="49"/>
      <c r="E18" s="49"/>
      <c r="F18" s="186">
        <f>SUM(F15:F17)</f>
        <v>11666.615531707916</v>
      </c>
    </row>
    <row r="19" spans="1:6" x14ac:dyDescent="0.25">
      <c r="C19" s="22"/>
      <c r="F19" s="23"/>
    </row>
    <row r="20" spans="1:6" x14ac:dyDescent="0.25">
      <c r="C20" s="187" t="s">
        <v>13</v>
      </c>
      <c r="F20" s="23"/>
    </row>
    <row r="21" spans="1:6" x14ac:dyDescent="0.25">
      <c r="C21" s="22"/>
      <c r="F21" s="23"/>
    </row>
    <row r="22" spans="1:6" x14ac:dyDescent="0.25">
      <c r="A22">
        <v>1</v>
      </c>
      <c r="C22" s="22" t="s">
        <v>82</v>
      </c>
      <c r="D22" s="45">
        <f>IFERROR(INDEX('[23]Master Data'!$C$59:$C$64,MATCH(C22,'[23]Master Data'!$B$59:$B$64,0)),"")</f>
        <v>5265.6</v>
      </c>
      <c r="E22" s="188">
        <f>E15</f>
        <v>0.13851063829787236</v>
      </c>
      <c r="F22" s="189">
        <f>D22*E22</f>
        <v>729.34161702127676</v>
      </c>
    </row>
    <row r="23" spans="1:6" x14ac:dyDescent="0.25">
      <c r="A23">
        <v>2</v>
      </c>
      <c r="C23" s="22" t="s">
        <v>83</v>
      </c>
      <c r="D23" s="45">
        <f>IFERROR(INDEX('[23]Master Data'!$C$59:$C$64,MATCH(C23,'[23]Master Data'!$B$59:$B$64,0)),"")</f>
        <v>4252.5391707151321</v>
      </c>
      <c r="E23" s="188">
        <f>E15</f>
        <v>0.13851063829787236</v>
      </c>
      <c r="F23" s="189">
        <f t="shared" ref="F23" si="1">D23*E23</f>
        <v>589.02191492245777</v>
      </c>
    </row>
    <row r="24" spans="1:6" x14ac:dyDescent="0.25">
      <c r="A24">
        <v>3</v>
      </c>
      <c r="C24" s="22" t="s">
        <v>84</v>
      </c>
      <c r="D24" s="45">
        <f>IFERROR(INDEX('[23]Master Data'!$C$59:$C$64,MATCH(C24,'[23]Master Data'!$B$59:$B$64,0)),"")</f>
        <v>1234</v>
      </c>
      <c r="E24" s="188">
        <f>E15</f>
        <v>0.13851063829787236</v>
      </c>
      <c r="F24" s="189">
        <f>D24*E24</f>
        <v>170.9221276595745</v>
      </c>
    </row>
    <row r="25" spans="1:6" x14ac:dyDescent="0.25">
      <c r="A25">
        <v>4</v>
      </c>
      <c r="C25" s="190" t="s">
        <v>85</v>
      </c>
      <c r="D25" s="45">
        <f>IFERROR(INDEX('[23]Master Data'!$C$59:$C$64,MATCH(C25,'[23]Master Data'!$B$59:$B$64,0)),"")</f>
        <v>200</v>
      </c>
      <c r="E25" s="188"/>
      <c r="F25" s="189">
        <f>D25</f>
        <v>200</v>
      </c>
    </row>
    <row r="26" spans="1:6" x14ac:dyDescent="0.25">
      <c r="A26">
        <v>5</v>
      </c>
      <c r="C26" s="22" t="s">
        <v>86</v>
      </c>
      <c r="D26" s="45">
        <f>IFERROR(INDEX('[23]Master Data'!$C$59:$C$64,MATCH(C26,'[23]Master Data'!$B$59:$B$64,0)),"")</f>
        <v>309.60000000000002</v>
      </c>
      <c r="E26" s="63"/>
      <c r="F26" s="189">
        <f t="shared" ref="F26:F27" si="2">D26</f>
        <v>309.60000000000002</v>
      </c>
    </row>
    <row r="27" spans="1:6" x14ac:dyDescent="0.25">
      <c r="A27">
        <v>6</v>
      </c>
      <c r="C27" s="22" t="s">
        <v>87</v>
      </c>
      <c r="D27" s="45">
        <f>IFERROR(INDEX('[23]Master Data'!$C$59:$C$64,MATCH(C27,'[23]Master Data'!$B$59:$B$64,0)),"")</f>
        <v>17</v>
      </c>
      <c r="E27" s="63"/>
      <c r="F27" s="189">
        <f t="shared" si="2"/>
        <v>17</v>
      </c>
    </row>
    <row r="28" spans="1:6" hidden="1" x14ac:dyDescent="0.25">
      <c r="A28">
        <v>7</v>
      </c>
      <c r="C28" s="173" t="s">
        <v>79</v>
      </c>
      <c r="D28" s="174" t="s">
        <v>79</v>
      </c>
      <c r="E28" s="191"/>
      <c r="F28" s="192"/>
    </row>
    <row r="29" spans="1:6" hidden="1" x14ac:dyDescent="0.25">
      <c r="A29">
        <v>8</v>
      </c>
      <c r="C29" s="173" t="s">
        <v>79</v>
      </c>
      <c r="D29" s="174" t="s">
        <v>79</v>
      </c>
      <c r="E29" s="191"/>
      <c r="F29" s="192"/>
    </row>
    <row r="30" spans="1:6" hidden="1" x14ac:dyDescent="0.25">
      <c r="A30">
        <v>9</v>
      </c>
      <c r="C30" s="173" t="s">
        <v>79</v>
      </c>
      <c r="D30" s="174" t="s">
        <v>79</v>
      </c>
      <c r="E30" s="191"/>
      <c r="F30" s="192"/>
    </row>
    <row r="31" spans="1:6" hidden="1" x14ac:dyDescent="0.25">
      <c r="A31">
        <v>10</v>
      </c>
      <c r="C31" s="173" t="s">
        <v>79</v>
      </c>
      <c r="D31" s="174" t="s">
        <v>79</v>
      </c>
      <c r="E31" s="191"/>
      <c r="F31" s="192"/>
    </row>
    <row r="32" spans="1:6" hidden="1" x14ac:dyDescent="0.25">
      <c r="A32">
        <v>11</v>
      </c>
      <c r="C32" s="173" t="s">
        <v>79</v>
      </c>
      <c r="D32" s="174" t="s">
        <v>79</v>
      </c>
      <c r="E32" s="191"/>
      <c r="F32" s="192"/>
    </row>
    <row r="33" spans="1:6" hidden="1" x14ac:dyDescent="0.25">
      <c r="A33">
        <v>12</v>
      </c>
      <c r="C33" s="173" t="s">
        <v>79</v>
      </c>
      <c r="D33" s="174" t="s">
        <v>79</v>
      </c>
      <c r="E33" s="191"/>
      <c r="F33" s="192"/>
    </row>
    <row r="34" spans="1:6" x14ac:dyDescent="0.25">
      <c r="C34" s="181"/>
      <c r="D34" s="183"/>
      <c r="E34" s="183"/>
      <c r="F34" s="193"/>
    </row>
    <row r="35" spans="1:6" x14ac:dyDescent="0.25">
      <c r="C35" s="185" t="s">
        <v>88</v>
      </c>
      <c r="D35" s="49"/>
      <c r="E35" s="49"/>
      <c r="F35" s="194">
        <f>SUM(F22:F33)</f>
        <v>2015.8856596033088</v>
      </c>
    </row>
    <row r="36" spans="1:6" x14ac:dyDescent="0.25">
      <c r="C36" s="22"/>
      <c r="F36" s="23"/>
    </row>
    <row r="37" spans="1:6" x14ac:dyDescent="0.25">
      <c r="C37" s="195" t="s">
        <v>18</v>
      </c>
      <c r="D37" s="196"/>
      <c r="E37" s="196"/>
      <c r="F37" s="197">
        <f>SUM(F18,F35)</f>
        <v>13682.501191311225</v>
      </c>
    </row>
    <row r="38" spans="1:6" x14ac:dyDescent="0.25">
      <c r="C38" s="198" t="s">
        <v>89</v>
      </c>
      <c r="D38" s="199">
        <f>'[23]Master Data'!C26</f>
        <v>0.12</v>
      </c>
      <c r="E38" s="33"/>
      <c r="F38" s="200">
        <f>F37*D38</f>
        <v>1641.9001429573468</v>
      </c>
    </row>
    <row r="39" spans="1:6" x14ac:dyDescent="0.25">
      <c r="C39" s="201" t="s">
        <v>57</v>
      </c>
      <c r="D39" s="182">
        <f>'[23]Master Data'!C27</f>
        <v>2.5758086673353865E-2</v>
      </c>
      <c r="E39" s="183"/>
      <c r="F39" s="202">
        <f>SUM(F37:F38)*D39</f>
        <v>394.72725778534948</v>
      </c>
    </row>
    <row r="40" spans="1:6" x14ac:dyDescent="0.25">
      <c r="C40" s="187" t="s">
        <v>19</v>
      </c>
      <c r="D40" s="178"/>
      <c r="E40" s="178"/>
      <c r="F40" s="203">
        <f>SUM(F37:F39)</f>
        <v>15719.128592053921</v>
      </c>
    </row>
    <row r="41" spans="1:6" x14ac:dyDescent="0.25">
      <c r="C41" s="204" t="s">
        <v>90</v>
      </c>
      <c r="D41" s="205"/>
      <c r="E41" s="205"/>
      <c r="F41" s="194">
        <f>ROUND(F40/365,2)</f>
        <v>43.07</v>
      </c>
    </row>
    <row r="42" spans="1:6" x14ac:dyDescent="0.25">
      <c r="C42" s="206" t="s">
        <v>91</v>
      </c>
      <c r="D42" s="178"/>
      <c r="E42" s="178"/>
      <c r="F42" s="207">
        <f>ROUND(F40/F3,2)</f>
        <v>20.149999999999999</v>
      </c>
    </row>
    <row r="43" spans="1:6" x14ac:dyDescent="0.25">
      <c r="C43" s="206"/>
      <c r="D43" s="178"/>
      <c r="E43" s="178"/>
      <c r="F43" s="207"/>
    </row>
  </sheetData>
  <mergeCells count="2">
    <mergeCell ref="C2:F2"/>
    <mergeCell ref="D3:E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A903-FE12-420E-A0B4-8C99600D8553}">
  <dimension ref="B1:L25"/>
  <sheetViews>
    <sheetView zoomScale="90" zoomScaleNormal="90" workbookViewId="0">
      <selection activeCell="H36" sqref="H36"/>
    </sheetView>
  </sheetViews>
  <sheetFormatPr defaultRowHeight="15" x14ac:dyDescent="0.25"/>
  <cols>
    <col min="2" max="2" width="26.28515625" bestFit="1" customWidth="1"/>
    <col min="3" max="3" width="23.28515625" bestFit="1" customWidth="1"/>
    <col min="4" max="4" width="15.140625" bestFit="1" customWidth="1"/>
    <col min="5" max="5" width="14.42578125" customWidth="1"/>
    <col min="6" max="6" width="19.7109375" customWidth="1"/>
    <col min="7" max="7" width="14.42578125" customWidth="1"/>
    <col min="8" max="8" width="80.42578125" customWidth="1"/>
  </cols>
  <sheetData>
    <row r="1" spans="2:9" x14ac:dyDescent="0.25">
      <c r="F1" s="120"/>
      <c r="G1" s="120"/>
    </row>
    <row r="2" spans="2:9" ht="58.5" customHeight="1" x14ac:dyDescent="0.25">
      <c r="B2" s="121"/>
      <c r="C2" s="122" t="s">
        <v>46</v>
      </c>
      <c r="D2" s="123" t="s">
        <v>47</v>
      </c>
      <c r="E2" s="123" t="s">
        <v>48</v>
      </c>
      <c r="F2" s="124" t="s">
        <v>49</v>
      </c>
      <c r="G2" s="125" t="s">
        <v>50</v>
      </c>
      <c r="H2" s="126" t="s">
        <v>51</v>
      </c>
      <c r="I2" s="127"/>
    </row>
    <row r="3" spans="2:9" x14ac:dyDescent="0.25">
      <c r="B3" s="126" t="s">
        <v>7</v>
      </c>
      <c r="C3" s="128">
        <f>'[23]Benchmark Salaries'!D4</f>
        <v>41600</v>
      </c>
      <c r="D3" s="128">
        <f>'[23]Benchmark Salaries'!D12</f>
        <v>65676.416000000012</v>
      </c>
      <c r="E3" s="128">
        <f>'[23]Benchmark Salaries'!D13</f>
        <v>102258.624</v>
      </c>
      <c r="F3" s="128">
        <f>'[23]Benchmark Salaries'!D9</f>
        <v>80606.448000000004</v>
      </c>
      <c r="G3" s="128">
        <f>'[23]Benchmark Salaries'!D16</f>
        <v>76038</v>
      </c>
      <c r="H3" s="121"/>
    </row>
    <row r="4" spans="2:9" x14ac:dyDescent="0.25">
      <c r="B4" s="126" t="s">
        <v>52</v>
      </c>
      <c r="C4" s="129">
        <f>'[23]Master Data'!C24</f>
        <v>0.27379999999999999</v>
      </c>
      <c r="D4" s="129">
        <f>'[23]Master Data'!C24</f>
        <v>0.27379999999999999</v>
      </c>
      <c r="E4" s="129">
        <f>'[23]Master Data'!C24</f>
        <v>0.27379999999999999</v>
      </c>
      <c r="F4" s="129">
        <f>'[23]Master Data'!C24</f>
        <v>0.27379999999999999</v>
      </c>
      <c r="G4" s="129">
        <f>'[23]Master Data'!C24</f>
        <v>0.27379999999999999</v>
      </c>
      <c r="H4" s="121"/>
    </row>
    <row r="5" spans="2:9" x14ac:dyDescent="0.25">
      <c r="B5" s="126" t="s">
        <v>53</v>
      </c>
      <c r="C5" s="128">
        <f>C3*C4</f>
        <v>11390.08</v>
      </c>
      <c r="D5" s="128">
        <f t="shared" ref="D5:G5" si="0">D3*D4</f>
        <v>17982.202700800004</v>
      </c>
      <c r="E5" s="128">
        <f t="shared" si="0"/>
        <v>27998.411251199999</v>
      </c>
      <c r="F5" s="128">
        <f t="shared" si="0"/>
        <v>22070.045462400001</v>
      </c>
      <c r="G5" s="128">
        <f t="shared" si="0"/>
        <v>20819.204399999999</v>
      </c>
      <c r="H5" s="121"/>
    </row>
    <row r="6" spans="2:9" x14ac:dyDescent="0.25">
      <c r="B6" s="126" t="s">
        <v>54</v>
      </c>
      <c r="C6" s="128">
        <f>C3+C5</f>
        <v>52990.080000000002</v>
      </c>
      <c r="D6" s="128">
        <f t="shared" ref="D6:G6" si="1">D3+D5</f>
        <v>83658.618700800012</v>
      </c>
      <c r="E6" s="128">
        <f t="shared" si="1"/>
        <v>130257.0352512</v>
      </c>
      <c r="F6" s="128">
        <f t="shared" si="1"/>
        <v>102676.4934624</v>
      </c>
      <c r="G6" s="128">
        <f t="shared" si="1"/>
        <v>96857.204400000002</v>
      </c>
      <c r="H6" s="121"/>
    </row>
    <row r="7" spans="2:9" hidden="1" x14ac:dyDescent="0.25">
      <c r="B7" s="126" t="s">
        <v>55</v>
      </c>
      <c r="C7" s="129">
        <f>'[23]Master Data'!C25</f>
        <v>0</v>
      </c>
      <c r="D7" s="129">
        <f>'[23]Master Data'!C25</f>
        <v>0</v>
      </c>
      <c r="E7" s="129">
        <f>'[23]Master Data'!C25</f>
        <v>0</v>
      </c>
      <c r="F7" s="129">
        <f>'[23]Master Data'!C25</f>
        <v>0</v>
      </c>
      <c r="G7" s="129">
        <f>'[23]Master Data'!C25</f>
        <v>0</v>
      </c>
      <c r="H7" s="121"/>
    </row>
    <row r="8" spans="2:9" hidden="1" x14ac:dyDescent="0.25">
      <c r="B8" s="126" t="s">
        <v>56</v>
      </c>
      <c r="C8" s="128">
        <f>C3*C7</f>
        <v>0</v>
      </c>
      <c r="D8" s="128">
        <f t="shared" ref="D8:G8" si="2">D3*D7</f>
        <v>0</v>
      </c>
      <c r="E8" s="128">
        <f t="shared" si="2"/>
        <v>0</v>
      </c>
      <c r="F8" s="128">
        <f t="shared" si="2"/>
        <v>0</v>
      </c>
      <c r="G8" s="128">
        <f t="shared" si="2"/>
        <v>0</v>
      </c>
      <c r="H8" s="121"/>
    </row>
    <row r="9" spans="2:9" x14ac:dyDescent="0.25">
      <c r="B9" s="126" t="s">
        <v>57</v>
      </c>
      <c r="C9" s="129">
        <f>'[23]Master Data'!C27</f>
        <v>2.5758086673353865E-2</v>
      </c>
      <c r="D9" s="129">
        <f>'[23]Master Data'!C27</f>
        <v>2.5758086673353865E-2</v>
      </c>
      <c r="E9" s="129">
        <f>'[23]Master Data'!C27</f>
        <v>2.5758086673353865E-2</v>
      </c>
      <c r="F9" s="129">
        <f>'[23]Master Data'!C27</f>
        <v>2.5758086673353865E-2</v>
      </c>
      <c r="G9" s="129">
        <f>'[23]Master Data'!C27</f>
        <v>2.5758086673353865E-2</v>
      </c>
      <c r="H9" s="121"/>
    </row>
    <row r="10" spans="2:9" x14ac:dyDescent="0.25">
      <c r="B10" s="126" t="s">
        <v>58</v>
      </c>
      <c r="C10" s="128">
        <f>C6*C9</f>
        <v>1364.9230734679552</v>
      </c>
      <c r="D10" s="128">
        <f t="shared" ref="D10:G10" si="3">D6*D9</f>
        <v>2154.8859514682695</v>
      </c>
      <c r="E10" s="128">
        <f t="shared" si="3"/>
        <v>3355.172003814519</v>
      </c>
      <c r="F10" s="128">
        <f t="shared" si="3"/>
        <v>2644.7500179205508</v>
      </c>
      <c r="G10" s="128">
        <f t="shared" si="3"/>
        <v>2494.8562658739515</v>
      </c>
      <c r="H10" s="121"/>
    </row>
    <row r="11" spans="2:9" x14ac:dyDescent="0.25">
      <c r="B11" s="126" t="s">
        <v>59</v>
      </c>
      <c r="C11" s="128">
        <f>SUM(C6,C8,C10)</f>
        <v>54355.00307346796</v>
      </c>
      <c r="D11" s="128">
        <f t="shared" ref="D11:G11" si="4">SUM(D6,D8,D10)</f>
        <v>85813.504652268282</v>
      </c>
      <c r="E11" s="128">
        <f>SUM(E6,E8,E10)</f>
        <v>133612.20725501451</v>
      </c>
      <c r="F11" s="128">
        <f t="shared" si="4"/>
        <v>105321.24348032055</v>
      </c>
      <c r="G11" s="128">
        <f t="shared" si="4"/>
        <v>99352.060665873956</v>
      </c>
      <c r="H11" s="121"/>
    </row>
    <row r="12" spans="2:9" x14ac:dyDescent="0.25">
      <c r="B12" s="126" t="s">
        <v>60</v>
      </c>
      <c r="C12" s="130">
        <f>E25</f>
        <v>1952</v>
      </c>
      <c r="D12" s="82">
        <f>K25</f>
        <v>1760</v>
      </c>
      <c r="E12" s="82">
        <f>K25</f>
        <v>1760</v>
      </c>
      <c r="F12" s="82">
        <f>K25</f>
        <v>1760</v>
      </c>
      <c r="G12" s="82">
        <f>K25</f>
        <v>1760</v>
      </c>
      <c r="H12" s="121"/>
    </row>
    <row r="13" spans="2:9" x14ac:dyDescent="0.25">
      <c r="B13" s="126" t="s">
        <v>61</v>
      </c>
      <c r="C13" s="131">
        <f>ROUND(C11/C12,2)</f>
        <v>27.85</v>
      </c>
      <c r="D13" s="131">
        <f>ROUND(D11/D12,2)</f>
        <v>48.76</v>
      </c>
      <c r="E13" s="131">
        <f>ROUND(E11/E12,2)</f>
        <v>75.92</v>
      </c>
      <c r="F13" s="131">
        <f>ROUND(F11/F12,2)</f>
        <v>59.84</v>
      </c>
      <c r="G13" s="131">
        <f>ROUND(G11/G12,2)</f>
        <v>56.45</v>
      </c>
      <c r="H13" s="121"/>
    </row>
    <row r="14" spans="2:9" x14ac:dyDescent="0.25">
      <c r="B14" s="132" t="s">
        <v>62</v>
      </c>
      <c r="C14" s="128">
        <v>22.76</v>
      </c>
      <c r="D14" s="128">
        <v>43.28</v>
      </c>
      <c r="E14" s="128">
        <v>65.2</v>
      </c>
      <c r="F14" s="128">
        <v>54.91</v>
      </c>
      <c r="G14" s="133">
        <v>53.22</v>
      </c>
      <c r="H14" s="121"/>
    </row>
    <row r="15" spans="2:9" x14ac:dyDescent="0.25">
      <c r="B15" s="134" t="s">
        <v>63</v>
      </c>
      <c r="C15" s="135">
        <f>(C13-C14)/C14</f>
        <v>0.22363796133567659</v>
      </c>
      <c r="D15" s="135">
        <f t="shared" ref="D15:G15" si="5">(D13-D14)/D14</f>
        <v>0.12661737523105354</v>
      </c>
      <c r="E15" s="135">
        <f t="shared" si="5"/>
        <v>0.1644171779141104</v>
      </c>
      <c r="F15" s="135">
        <f>(F13-F14)/F14</f>
        <v>8.9783281733746265E-2</v>
      </c>
      <c r="G15" s="135">
        <f t="shared" si="5"/>
        <v>6.0691469372416464E-2</v>
      </c>
      <c r="H15" s="121"/>
    </row>
    <row r="16" spans="2:9" hidden="1" x14ac:dyDescent="0.25"/>
    <row r="17" spans="2:12" hidden="1" x14ac:dyDescent="0.25">
      <c r="B17" s="126" t="s">
        <v>64</v>
      </c>
      <c r="C17" s="136"/>
      <c r="D17" s="136"/>
      <c r="E17" s="131">
        <f>ROUND(E6/E12,2)</f>
        <v>74.010000000000005</v>
      </c>
      <c r="F17" s="131">
        <f>ROUND(F6/F12,2)</f>
        <v>58.34</v>
      </c>
      <c r="G17" s="136"/>
      <c r="H17" s="121"/>
    </row>
    <row r="20" spans="2:12" ht="15.75" thickBot="1" x14ac:dyDescent="0.3">
      <c r="B20" s="137" t="s">
        <v>65</v>
      </c>
      <c r="C20" s="138"/>
      <c r="D20" s="139"/>
      <c r="E20" s="138"/>
      <c r="F20" s="63"/>
      <c r="G20" s="63"/>
      <c r="H20" s="140" t="s">
        <v>66</v>
      </c>
      <c r="I20" s="141"/>
      <c r="J20" s="141"/>
      <c r="K20" s="141"/>
    </row>
    <row r="21" spans="2:12" x14ac:dyDescent="0.25">
      <c r="B21" s="142"/>
      <c r="C21" s="143"/>
      <c r="D21" s="144" t="s">
        <v>67</v>
      </c>
      <c r="E21" s="145" t="s">
        <v>68</v>
      </c>
      <c r="F21" s="63"/>
      <c r="G21" s="63"/>
      <c r="H21" s="142"/>
      <c r="I21" s="143"/>
      <c r="J21" s="144" t="s">
        <v>67</v>
      </c>
      <c r="K21" s="145" t="s">
        <v>68</v>
      </c>
    </row>
    <row r="22" spans="2:12" x14ac:dyDescent="0.25">
      <c r="B22" s="146"/>
      <c r="C22" s="147" t="s">
        <v>69</v>
      </c>
      <c r="D22" s="148">
        <v>15</v>
      </c>
      <c r="E22" s="149">
        <f>D22*8</f>
        <v>120</v>
      </c>
      <c r="F22" s="150"/>
      <c r="G22" s="150"/>
      <c r="H22" s="146"/>
      <c r="I22" s="147" t="s">
        <v>69</v>
      </c>
      <c r="J22" s="148">
        <v>15</v>
      </c>
      <c r="K22" s="149">
        <f>J22*8</f>
        <v>120</v>
      </c>
      <c r="L22" s="150"/>
    </row>
    <row r="23" spans="2:12" x14ac:dyDescent="0.25">
      <c r="B23" s="151"/>
      <c r="C23" s="152" t="s">
        <v>70</v>
      </c>
      <c r="D23" s="153">
        <v>1</v>
      </c>
      <c r="E23" s="154">
        <f>D23*8</f>
        <v>8</v>
      </c>
      <c r="F23" s="155"/>
      <c r="G23" s="155"/>
      <c r="H23" s="156"/>
      <c r="I23" s="157" t="s">
        <v>71</v>
      </c>
      <c r="J23" s="153">
        <v>25</v>
      </c>
      <c r="K23" s="158">
        <f>J23*8</f>
        <v>200</v>
      </c>
      <c r="L23" s="150"/>
    </row>
    <row r="24" spans="2:12" x14ac:dyDescent="0.25">
      <c r="B24" s="146"/>
      <c r="C24" s="159"/>
      <c r="D24" s="147" t="s">
        <v>72</v>
      </c>
      <c r="E24" s="160">
        <f>SUM(E22:E23)</f>
        <v>128</v>
      </c>
      <c r="F24" s="63"/>
      <c r="G24" s="63"/>
      <c r="H24" s="146"/>
      <c r="I24" s="159"/>
      <c r="J24" s="147" t="s">
        <v>72</v>
      </c>
      <c r="K24" s="149">
        <f>SUM(K22:K23)</f>
        <v>320</v>
      </c>
    </row>
    <row r="25" spans="2:12" ht="15.75" thickBot="1" x14ac:dyDescent="0.3">
      <c r="B25" s="161"/>
      <c r="C25" s="162"/>
      <c r="D25" s="163" t="s">
        <v>60</v>
      </c>
      <c r="E25" s="164">
        <f>2080-E24</f>
        <v>1952</v>
      </c>
      <c r="F25" s="63"/>
      <c r="G25" s="63"/>
      <c r="H25" s="161"/>
      <c r="I25" s="162"/>
      <c r="J25" s="163" t="s">
        <v>60</v>
      </c>
      <c r="K25" s="165">
        <f>2080-K24</f>
        <v>1760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AAA7-2420-4D05-B706-DF14EA2867F8}">
  <dimension ref="A2:M28"/>
  <sheetViews>
    <sheetView zoomScale="120" zoomScaleNormal="120" workbookViewId="0">
      <selection activeCell="D22" sqref="D22"/>
    </sheetView>
  </sheetViews>
  <sheetFormatPr defaultRowHeight="15" x14ac:dyDescent="0.25"/>
  <cols>
    <col min="3" max="3" width="13.5703125" customWidth="1"/>
    <col min="4" max="5" width="17.42578125" customWidth="1"/>
    <col min="6" max="6" width="13.140625" customWidth="1"/>
    <col min="7" max="7" width="20.140625" customWidth="1"/>
    <col min="8" max="8" width="16.7109375" customWidth="1"/>
    <col min="9" max="9" width="13.7109375" customWidth="1"/>
    <col min="11" max="11" width="22.85546875" customWidth="1"/>
    <col min="12" max="12" width="14.5703125" customWidth="1"/>
  </cols>
  <sheetData>
    <row r="2" spans="1:13" ht="30" x14ac:dyDescent="0.25">
      <c r="C2" s="61" t="s">
        <v>22</v>
      </c>
      <c r="D2" s="61" t="s">
        <v>23</v>
      </c>
      <c r="E2" s="62"/>
      <c r="F2" s="63"/>
      <c r="G2" s="61" t="s">
        <v>24</v>
      </c>
      <c r="H2" s="61" t="s">
        <v>25</v>
      </c>
      <c r="I2" s="61"/>
    </row>
    <row r="3" spans="1:13" ht="60" x14ac:dyDescent="0.25">
      <c r="A3" s="64" t="s">
        <v>26</v>
      </c>
      <c r="B3" s="64" t="s">
        <v>27</v>
      </c>
      <c r="C3" s="64" t="s">
        <v>28</v>
      </c>
      <c r="D3" s="64" t="s">
        <v>29</v>
      </c>
      <c r="E3" s="64" t="s">
        <v>30</v>
      </c>
      <c r="F3" s="65" t="s">
        <v>31</v>
      </c>
      <c r="G3" s="64" t="s">
        <v>32</v>
      </c>
      <c r="H3" s="64" t="s">
        <v>33</v>
      </c>
      <c r="I3" s="64" t="s">
        <v>34</v>
      </c>
      <c r="J3" s="66"/>
      <c r="K3" s="67" t="s">
        <v>35</v>
      </c>
      <c r="L3" s="67" t="s">
        <v>36</v>
      </c>
      <c r="M3" s="68"/>
    </row>
    <row r="4" spans="1:13" ht="14.45" customHeight="1" x14ac:dyDescent="0.25">
      <c r="A4" s="69">
        <v>1</v>
      </c>
      <c r="B4" s="70" t="s">
        <v>37</v>
      </c>
      <c r="C4" s="71">
        <f>ROUND(D4*347,2)</f>
        <v>10597.38</v>
      </c>
      <c r="D4" s="72">
        <v>30.54</v>
      </c>
      <c r="E4" s="73"/>
      <c r="F4" s="74"/>
      <c r="G4" s="72">
        <f>G8</f>
        <v>79.59</v>
      </c>
      <c r="H4" s="71">
        <f t="shared" ref="H4:H28" si="0">G4*347</f>
        <v>27617.73</v>
      </c>
      <c r="I4" s="75">
        <f>(G4-D4)/D4</f>
        <v>1.6060903732809433</v>
      </c>
      <c r="K4" s="76" t="s">
        <v>38</v>
      </c>
      <c r="L4" s="76" t="s">
        <v>39</v>
      </c>
    </row>
    <row r="5" spans="1:13" ht="14.45" customHeight="1" x14ac:dyDescent="0.25">
      <c r="A5" s="69">
        <v>2</v>
      </c>
      <c r="B5" s="69" t="s">
        <v>37</v>
      </c>
      <c r="C5" s="77">
        <f t="shared" ref="C5:C28" si="1">ROUND(D5*347,2)</f>
        <v>14632.99</v>
      </c>
      <c r="D5" s="78">
        <v>42.17</v>
      </c>
      <c r="E5" s="73"/>
      <c r="F5" s="74"/>
      <c r="G5" s="72">
        <f>G8</f>
        <v>79.59</v>
      </c>
      <c r="H5" s="71">
        <f t="shared" si="0"/>
        <v>27617.73</v>
      </c>
      <c r="I5" s="75">
        <f t="shared" ref="I5:I28" si="2">(G5-D5)/D5</f>
        <v>0.8873606829499644</v>
      </c>
      <c r="K5" s="79" t="s">
        <v>40</v>
      </c>
      <c r="L5" s="79" t="s">
        <v>41</v>
      </c>
    </row>
    <row r="6" spans="1:13" ht="14.45" customHeight="1" x14ac:dyDescent="0.25">
      <c r="A6" s="69">
        <v>3</v>
      </c>
      <c r="B6" s="69" t="s">
        <v>37</v>
      </c>
      <c r="C6" s="77">
        <f t="shared" si="1"/>
        <v>17558.2</v>
      </c>
      <c r="D6" s="78">
        <v>50.6</v>
      </c>
      <c r="E6" s="73"/>
      <c r="F6" s="74"/>
      <c r="G6" s="72">
        <f>G8</f>
        <v>79.59</v>
      </c>
      <c r="H6" s="71">
        <f t="shared" si="0"/>
        <v>27617.73</v>
      </c>
      <c r="I6" s="75">
        <f t="shared" si="2"/>
        <v>0.57292490118577077</v>
      </c>
      <c r="K6" s="80" t="s">
        <v>42</v>
      </c>
      <c r="L6" s="80" t="s">
        <v>43</v>
      </c>
    </row>
    <row r="7" spans="1:13" x14ac:dyDescent="0.25">
      <c r="A7" s="69">
        <v>4</v>
      </c>
      <c r="B7" s="69" t="s">
        <v>37</v>
      </c>
      <c r="C7" s="77">
        <f t="shared" si="1"/>
        <v>20486.88</v>
      </c>
      <c r="D7" s="78">
        <v>59.04</v>
      </c>
      <c r="E7" s="73"/>
      <c r="F7" s="74"/>
      <c r="G7" s="72">
        <f>G8</f>
        <v>79.59</v>
      </c>
      <c r="H7" s="71">
        <f t="shared" si="0"/>
        <v>27617.73</v>
      </c>
      <c r="I7" s="75">
        <f t="shared" si="2"/>
        <v>0.34806910569105698</v>
      </c>
      <c r="K7" s="81" t="s">
        <v>44</v>
      </c>
      <c r="L7" s="81" t="s">
        <v>45</v>
      </c>
    </row>
    <row r="8" spans="1:13" x14ac:dyDescent="0.25">
      <c r="A8" s="82">
        <v>5</v>
      </c>
      <c r="B8" s="82">
        <v>1</v>
      </c>
      <c r="C8" s="83">
        <f t="shared" si="1"/>
        <v>23412.09</v>
      </c>
      <c r="D8" s="84">
        <v>67.47</v>
      </c>
      <c r="E8" s="85">
        <f>'[23]Master Data'!$C$30</f>
        <v>0.15</v>
      </c>
      <c r="F8" s="86">
        <f>INDEX('[23]Master Data'!$C$48:$C$53,MATCH($F$3,'[23]Master Data'!$B$48:$B$53,0))</f>
        <v>2.5758086673353865E-2</v>
      </c>
      <c r="G8" s="87">
        <f t="shared" ref="G8:G28" si="3">ROUND((D8*(1+E8))*(1+F8),2)</f>
        <v>79.59</v>
      </c>
      <c r="H8" s="88">
        <f t="shared" si="0"/>
        <v>27617.73</v>
      </c>
      <c r="I8" s="89">
        <f t="shared" si="2"/>
        <v>0.17963539350822594</v>
      </c>
    </row>
    <row r="9" spans="1:13" x14ac:dyDescent="0.25">
      <c r="A9" s="82">
        <v>6</v>
      </c>
      <c r="B9" s="82">
        <v>2</v>
      </c>
      <c r="C9" s="83">
        <f t="shared" si="1"/>
        <v>26340.77</v>
      </c>
      <c r="D9" s="84">
        <v>75.91</v>
      </c>
      <c r="E9" s="85">
        <f>'[23]Master Data'!$C$30</f>
        <v>0.15</v>
      </c>
      <c r="F9" s="86">
        <f>INDEX('[23]Master Data'!$C$48:$C$53,MATCH($F$3,'[23]Master Data'!$B$48:$B$53,0))</f>
        <v>2.5758086673353865E-2</v>
      </c>
      <c r="G9" s="87">
        <f t="shared" si="3"/>
        <v>89.55</v>
      </c>
      <c r="H9" s="88">
        <f t="shared" si="0"/>
        <v>31073.85</v>
      </c>
      <c r="I9" s="89">
        <f t="shared" si="2"/>
        <v>0.17968647082070874</v>
      </c>
    </row>
    <row r="10" spans="1:13" x14ac:dyDescent="0.25">
      <c r="A10" s="82">
        <v>7</v>
      </c>
      <c r="B10" s="82">
        <v>3</v>
      </c>
      <c r="C10" s="83">
        <f t="shared" si="1"/>
        <v>29265.98</v>
      </c>
      <c r="D10" s="84">
        <v>84.34</v>
      </c>
      <c r="E10" s="85">
        <f>'[23]Master Data'!$C$30</f>
        <v>0.15</v>
      </c>
      <c r="F10" s="86">
        <f>INDEX('[23]Master Data'!$C$48:$C$53,MATCH($F$3,'[23]Master Data'!$B$48:$B$53,0))</f>
        <v>2.5758086673353865E-2</v>
      </c>
      <c r="G10" s="87">
        <f t="shared" si="3"/>
        <v>99.49</v>
      </c>
      <c r="H10" s="88">
        <f t="shared" si="0"/>
        <v>34523.03</v>
      </c>
      <c r="I10" s="89">
        <f t="shared" si="2"/>
        <v>0.17963006876926715</v>
      </c>
    </row>
    <row r="11" spans="1:13" x14ac:dyDescent="0.25">
      <c r="A11" s="82">
        <v>8</v>
      </c>
      <c r="B11" s="82">
        <v>4</v>
      </c>
      <c r="C11" s="83">
        <f t="shared" si="1"/>
        <v>32191.19</v>
      </c>
      <c r="D11" s="84">
        <v>92.77</v>
      </c>
      <c r="E11" s="85">
        <f>'[23]Master Data'!$C$30</f>
        <v>0.15</v>
      </c>
      <c r="F11" s="86">
        <f>INDEX('[23]Master Data'!$C$48:$C$53,MATCH($F$3,'[23]Master Data'!$B$48:$B$53,0))</f>
        <v>2.5758086673353865E-2</v>
      </c>
      <c r="G11" s="87">
        <f t="shared" si="3"/>
        <v>109.43</v>
      </c>
      <c r="H11" s="88">
        <f t="shared" si="0"/>
        <v>37972.21</v>
      </c>
      <c r="I11" s="89">
        <f t="shared" si="2"/>
        <v>0.17958391721461692</v>
      </c>
    </row>
    <row r="12" spans="1:13" x14ac:dyDescent="0.25">
      <c r="A12" s="82">
        <v>9</v>
      </c>
      <c r="B12" s="82">
        <v>5</v>
      </c>
      <c r="C12" s="83">
        <f t="shared" si="1"/>
        <v>35119.870000000003</v>
      </c>
      <c r="D12" s="84">
        <v>101.21</v>
      </c>
      <c r="E12" s="85">
        <f>'[23]Master Data'!$C$30</f>
        <v>0.15</v>
      </c>
      <c r="F12" s="86">
        <f>INDEX('[23]Master Data'!$C$48:$C$53,MATCH($F$3,'[23]Master Data'!$B$48:$B$53,0))</f>
        <v>2.5758086673353865E-2</v>
      </c>
      <c r="G12" s="87">
        <f t="shared" si="3"/>
        <v>119.39</v>
      </c>
      <c r="H12" s="88">
        <f t="shared" si="0"/>
        <v>41428.33</v>
      </c>
      <c r="I12" s="89">
        <f t="shared" si="2"/>
        <v>0.17962651911866423</v>
      </c>
    </row>
    <row r="13" spans="1:13" x14ac:dyDescent="0.25">
      <c r="A13" s="82">
        <v>10</v>
      </c>
      <c r="B13" s="82">
        <v>6</v>
      </c>
      <c r="C13" s="83">
        <f t="shared" si="1"/>
        <v>38048.550000000003</v>
      </c>
      <c r="D13" s="84">
        <v>109.65</v>
      </c>
      <c r="E13" s="85">
        <f>'[23]Master Data'!$C$30</f>
        <v>0.15</v>
      </c>
      <c r="F13" s="86">
        <f>INDEX('[23]Master Data'!$C$48:$C$53,MATCH($F$3,'[23]Master Data'!$B$48:$B$53,0))</f>
        <v>2.5758086673353865E-2</v>
      </c>
      <c r="G13" s="87">
        <f t="shared" si="3"/>
        <v>129.35</v>
      </c>
      <c r="H13" s="88">
        <f t="shared" si="0"/>
        <v>44884.45</v>
      </c>
      <c r="I13" s="89">
        <f t="shared" si="2"/>
        <v>0.17966256269949829</v>
      </c>
    </row>
    <row r="14" spans="1:13" x14ac:dyDescent="0.25">
      <c r="A14" s="82">
        <v>11</v>
      </c>
      <c r="B14" s="82">
        <v>7</v>
      </c>
      <c r="C14" s="83">
        <f t="shared" si="1"/>
        <v>40970.29</v>
      </c>
      <c r="D14" s="84">
        <v>118.07</v>
      </c>
      <c r="E14" s="85">
        <f>'[23]Master Data'!$C$30</f>
        <v>0.15</v>
      </c>
      <c r="F14" s="86">
        <f>INDEX('[23]Master Data'!$C$48:$C$53,MATCH($F$3,'[23]Master Data'!$B$48:$B$53,0))</f>
        <v>2.5758086673353865E-2</v>
      </c>
      <c r="G14" s="87">
        <f t="shared" si="3"/>
        <v>139.28</v>
      </c>
      <c r="H14" s="88">
        <f t="shared" si="0"/>
        <v>48330.16</v>
      </c>
      <c r="I14" s="89">
        <f t="shared" si="2"/>
        <v>0.17963919708647422</v>
      </c>
    </row>
    <row r="15" spans="1:13" x14ac:dyDescent="0.25">
      <c r="A15" s="82">
        <v>12</v>
      </c>
      <c r="B15" s="82">
        <v>8</v>
      </c>
      <c r="C15" s="83">
        <f t="shared" si="1"/>
        <v>43898.97</v>
      </c>
      <c r="D15" s="84">
        <v>126.51</v>
      </c>
      <c r="E15" s="85">
        <f>'[23]Master Data'!$C$30</f>
        <v>0.15</v>
      </c>
      <c r="F15" s="86">
        <f>INDEX('[23]Master Data'!$C$48:$C$53,MATCH($F$3,'[23]Master Data'!$B$48:$B$53,0))</f>
        <v>2.5758086673353865E-2</v>
      </c>
      <c r="G15" s="87">
        <f t="shared" si="3"/>
        <v>149.22999999999999</v>
      </c>
      <c r="H15" s="88">
        <f t="shared" si="0"/>
        <v>51782.81</v>
      </c>
      <c r="I15" s="89">
        <f t="shared" si="2"/>
        <v>0.17959054620188114</v>
      </c>
    </row>
    <row r="16" spans="1:13" x14ac:dyDescent="0.25">
      <c r="A16" s="76">
        <v>13</v>
      </c>
      <c r="B16" s="76">
        <v>9</v>
      </c>
      <c r="C16" s="90">
        <f t="shared" si="1"/>
        <v>46827.65</v>
      </c>
      <c r="D16" s="91">
        <v>134.94999999999999</v>
      </c>
      <c r="E16" s="92">
        <f>'[23]Master Data'!$C$30</f>
        <v>0.15</v>
      </c>
      <c r="F16" s="93">
        <f>INDEX('[23]Master Data'!$C$48:$C$53,MATCH($F$3,'[23]Master Data'!$B$48:$B$53,0))</f>
        <v>2.5758086673353865E-2</v>
      </c>
      <c r="G16" s="94">
        <f t="shared" si="3"/>
        <v>159.19</v>
      </c>
      <c r="H16" s="95">
        <f t="shared" si="0"/>
        <v>55238.93</v>
      </c>
      <c r="I16" s="96">
        <f t="shared" si="2"/>
        <v>0.17962208225268625</v>
      </c>
    </row>
    <row r="17" spans="1:9" x14ac:dyDescent="0.25">
      <c r="A17" s="82">
        <v>14</v>
      </c>
      <c r="B17" s="82">
        <v>10</v>
      </c>
      <c r="C17" s="83">
        <f t="shared" si="1"/>
        <v>49749.39</v>
      </c>
      <c r="D17" s="84">
        <v>143.37</v>
      </c>
      <c r="E17" s="85">
        <f>'[23]Master Data'!$C$30</f>
        <v>0.15</v>
      </c>
      <c r="F17" s="86">
        <f>INDEX('[23]Master Data'!$C$48:$C$53,MATCH($F$3,'[23]Master Data'!$B$48:$B$53,0))</f>
        <v>2.5758086673353865E-2</v>
      </c>
      <c r="G17" s="87">
        <f t="shared" si="3"/>
        <v>169.12</v>
      </c>
      <c r="H17" s="88">
        <f t="shared" si="0"/>
        <v>58684.639999999999</v>
      </c>
      <c r="I17" s="89">
        <f t="shared" si="2"/>
        <v>0.1796052172700007</v>
      </c>
    </row>
    <row r="18" spans="1:9" x14ac:dyDescent="0.25">
      <c r="A18" s="82">
        <v>15</v>
      </c>
      <c r="B18" s="82">
        <v>11</v>
      </c>
      <c r="C18" s="83">
        <f t="shared" si="1"/>
        <v>52678.07</v>
      </c>
      <c r="D18" s="84">
        <v>151.81</v>
      </c>
      <c r="E18" s="85">
        <f>'[23]Master Data'!$C$30</f>
        <v>0.15</v>
      </c>
      <c r="F18" s="86">
        <f>INDEX('[23]Master Data'!$C$48:$C$53,MATCH($F$3,'[23]Master Data'!$B$48:$B$53,0))</f>
        <v>2.5758086673353865E-2</v>
      </c>
      <c r="G18" s="87">
        <f t="shared" si="3"/>
        <v>179.08</v>
      </c>
      <c r="H18" s="88">
        <f t="shared" si="0"/>
        <v>62140.76</v>
      </c>
      <c r="I18" s="89">
        <f t="shared" si="2"/>
        <v>0.17963243528094336</v>
      </c>
    </row>
    <row r="19" spans="1:9" x14ac:dyDescent="0.25">
      <c r="A19" s="82">
        <v>16</v>
      </c>
      <c r="B19" s="82">
        <v>12</v>
      </c>
      <c r="C19" s="83">
        <f t="shared" si="1"/>
        <v>55606.75</v>
      </c>
      <c r="D19" s="84">
        <v>160.25</v>
      </c>
      <c r="E19" s="85">
        <f>'[23]Master Data'!$C$30</f>
        <v>0.15</v>
      </c>
      <c r="F19" s="86">
        <f>INDEX('[23]Master Data'!$C$48:$C$53,MATCH($F$3,'[23]Master Data'!$B$48:$B$53,0))</f>
        <v>2.5758086673353865E-2</v>
      </c>
      <c r="G19" s="87">
        <f t="shared" si="3"/>
        <v>189.03</v>
      </c>
      <c r="H19" s="88">
        <f t="shared" si="0"/>
        <v>65593.41</v>
      </c>
      <c r="I19" s="89">
        <f t="shared" si="2"/>
        <v>0.17959438377535103</v>
      </c>
    </row>
    <row r="20" spans="1:9" x14ac:dyDescent="0.25">
      <c r="A20" s="79">
        <v>17</v>
      </c>
      <c r="B20" s="79">
        <v>13</v>
      </c>
      <c r="C20" s="97">
        <f t="shared" si="1"/>
        <v>58535.43</v>
      </c>
      <c r="D20" s="98">
        <v>168.69</v>
      </c>
      <c r="E20" s="99">
        <f>'[23]Master Data'!$C$30</f>
        <v>0.15</v>
      </c>
      <c r="F20" s="100">
        <f>INDEX('[23]Master Data'!$C$48:$C$53,MATCH($F$3,'[23]Master Data'!$B$48:$B$53,0))</f>
        <v>2.5758086673353865E-2</v>
      </c>
      <c r="G20" s="101">
        <f t="shared" si="3"/>
        <v>198.99</v>
      </c>
      <c r="H20" s="102">
        <f t="shared" si="0"/>
        <v>69049.53</v>
      </c>
      <c r="I20" s="103">
        <f t="shared" si="2"/>
        <v>0.17961942023830701</v>
      </c>
    </row>
    <row r="21" spans="1:9" x14ac:dyDescent="0.25">
      <c r="A21" s="82">
        <v>18</v>
      </c>
      <c r="B21" s="82">
        <v>14</v>
      </c>
      <c r="C21" s="83">
        <f t="shared" si="1"/>
        <v>61457.17</v>
      </c>
      <c r="D21" s="84">
        <v>177.11</v>
      </c>
      <c r="E21" s="85">
        <f>'[23]Master Data'!$C$30</f>
        <v>0.15</v>
      </c>
      <c r="F21" s="104">
        <f>INDEX('[23]Master Data'!$C$48:$C$53,MATCH($F$3,'[23]Master Data'!$B$48:$B$53,0))</f>
        <v>2.5758086673353865E-2</v>
      </c>
      <c r="G21" s="87">
        <f t="shared" si="3"/>
        <v>208.92</v>
      </c>
      <c r="H21" s="88">
        <f t="shared" si="0"/>
        <v>72495.239999999991</v>
      </c>
      <c r="I21" s="105">
        <f t="shared" si="2"/>
        <v>0.17960589464174789</v>
      </c>
    </row>
    <row r="22" spans="1:9" x14ac:dyDescent="0.25">
      <c r="A22" s="82">
        <v>19</v>
      </c>
      <c r="B22" s="82">
        <v>15</v>
      </c>
      <c r="C22" s="83">
        <f t="shared" si="1"/>
        <v>64385.85</v>
      </c>
      <c r="D22" s="84">
        <v>185.55</v>
      </c>
      <c r="E22" s="85">
        <f>'[23]Master Data'!$C$30</f>
        <v>0.15</v>
      </c>
      <c r="F22" s="86">
        <f>INDEX('[23]Master Data'!$C$48:$C$53,MATCH($F$3,'[23]Master Data'!$B$48:$B$53,0))</f>
        <v>2.5758086673353865E-2</v>
      </c>
      <c r="G22" s="87">
        <f t="shared" si="3"/>
        <v>218.88</v>
      </c>
      <c r="H22" s="88">
        <f t="shared" si="0"/>
        <v>75951.360000000001</v>
      </c>
      <c r="I22" s="89">
        <f t="shared" si="2"/>
        <v>0.17962813257881963</v>
      </c>
    </row>
    <row r="23" spans="1:9" x14ac:dyDescent="0.25">
      <c r="A23" s="82">
        <v>20</v>
      </c>
      <c r="B23" s="82">
        <v>16</v>
      </c>
      <c r="C23" s="83">
        <f t="shared" si="1"/>
        <v>67314.53</v>
      </c>
      <c r="D23" s="84">
        <v>193.99</v>
      </c>
      <c r="E23" s="85">
        <f>'[23]Master Data'!$C$30</f>
        <v>0.15</v>
      </c>
      <c r="F23" s="86">
        <f>INDEX('[23]Master Data'!$C$48:$C$53,MATCH($F$3,'[23]Master Data'!$B$48:$B$53,0))</f>
        <v>2.5758086673353865E-2</v>
      </c>
      <c r="G23" s="87">
        <f t="shared" si="3"/>
        <v>228.83</v>
      </c>
      <c r="H23" s="88">
        <f t="shared" si="0"/>
        <v>79404.010000000009</v>
      </c>
      <c r="I23" s="89">
        <f t="shared" si="2"/>
        <v>0.17959688643744523</v>
      </c>
    </row>
    <row r="24" spans="1:9" x14ac:dyDescent="0.25">
      <c r="A24" s="80">
        <v>21</v>
      </c>
      <c r="B24" s="80">
        <v>17</v>
      </c>
      <c r="C24" s="106">
        <f t="shared" si="1"/>
        <v>70239.740000000005</v>
      </c>
      <c r="D24" s="107">
        <v>202.42</v>
      </c>
      <c r="E24" s="108">
        <f>'[23]Master Data'!$C$30</f>
        <v>0.15</v>
      </c>
      <c r="F24" s="109">
        <f>INDEX('[23]Master Data'!$C$48:$C$53,MATCH($F$3,'[23]Master Data'!$B$48:$B$53,0))</f>
        <v>2.5758086673353865E-2</v>
      </c>
      <c r="G24" s="110">
        <f t="shared" si="3"/>
        <v>238.78</v>
      </c>
      <c r="H24" s="111">
        <f t="shared" si="0"/>
        <v>82856.66</v>
      </c>
      <c r="I24" s="112">
        <f t="shared" si="2"/>
        <v>0.17962651911866423</v>
      </c>
    </row>
    <row r="25" spans="1:9" x14ac:dyDescent="0.25">
      <c r="A25" s="81">
        <v>22</v>
      </c>
      <c r="B25" s="81">
        <v>18</v>
      </c>
      <c r="C25" s="113">
        <f t="shared" si="1"/>
        <v>72873.47</v>
      </c>
      <c r="D25" s="114">
        <v>210.01</v>
      </c>
      <c r="E25" s="115">
        <f>'[23]Master Data'!$C$30</f>
        <v>0.15</v>
      </c>
      <c r="F25" s="116">
        <f>INDEX('[23]Master Data'!$C$48:$C$53,MATCH($F$3,'[23]Master Data'!$B$48:$B$53,0))</f>
        <v>2.5758086673353865E-2</v>
      </c>
      <c r="G25" s="117">
        <f t="shared" si="3"/>
        <v>247.73</v>
      </c>
      <c r="H25" s="118">
        <f t="shared" si="0"/>
        <v>85962.31</v>
      </c>
      <c r="I25" s="119">
        <f t="shared" si="2"/>
        <v>0.17961049473834578</v>
      </c>
    </row>
    <row r="26" spans="1:9" x14ac:dyDescent="0.25">
      <c r="A26" s="81">
        <v>23</v>
      </c>
      <c r="B26" s="81">
        <v>19</v>
      </c>
      <c r="C26" s="113">
        <f t="shared" si="1"/>
        <v>76093.63</v>
      </c>
      <c r="D26" s="114">
        <v>219.29</v>
      </c>
      <c r="E26" s="115">
        <f>'[23]Master Data'!$C$30</f>
        <v>0.15</v>
      </c>
      <c r="F26" s="116">
        <f>INDEX('[23]Master Data'!$C$48:$C$53,MATCH($F$3,'[23]Master Data'!$B$48:$B$53,0))</f>
        <v>2.5758086673353865E-2</v>
      </c>
      <c r="G26" s="117">
        <f t="shared" si="3"/>
        <v>258.68</v>
      </c>
      <c r="H26" s="118">
        <f t="shared" si="0"/>
        <v>89761.96</v>
      </c>
      <c r="I26" s="119">
        <f t="shared" si="2"/>
        <v>0.17962515390578693</v>
      </c>
    </row>
    <row r="27" spans="1:9" x14ac:dyDescent="0.25">
      <c r="A27" s="81">
        <v>24</v>
      </c>
      <c r="B27" s="81">
        <v>20</v>
      </c>
      <c r="C27" s="113">
        <f t="shared" si="1"/>
        <v>79310.320000000007</v>
      </c>
      <c r="D27" s="114">
        <v>228.56</v>
      </c>
      <c r="E27" s="115">
        <f>'[23]Master Data'!$C$30</f>
        <v>0.15</v>
      </c>
      <c r="F27" s="116">
        <f>INDEX('[23]Master Data'!$C$48:$C$53,MATCH($F$3,'[23]Master Data'!$B$48:$B$53,0))</f>
        <v>2.5758086673353865E-2</v>
      </c>
      <c r="G27" s="117">
        <f t="shared" si="3"/>
        <v>269.61</v>
      </c>
      <c r="H27" s="118">
        <f t="shared" si="0"/>
        <v>93554.67</v>
      </c>
      <c r="I27" s="119">
        <f t="shared" si="2"/>
        <v>0.17960273013650688</v>
      </c>
    </row>
    <row r="28" spans="1:9" x14ac:dyDescent="0.25">
      <c r="A28" s="81">
        <v>25</v>
      </c>
      <c r="B28" s="81">
        <v>21</v>
      </c>
      <c r="C28" s="113">
        <f t="shared" si="1"/>
        <v>81947.520000000004</v>
      </c>
      <c r="D28" s="114">
        <v>236.16</v>
      </c>
      <c r="E28" s="115">
        <f>'[23]Master Data'!$C$30</f>
        <v>0.15</v>
      </c>
      <c r="F28" s="116">
        <f>INDEX('[23]Master Data'!$C$48:$C$53,MATCH($F$3,'[23]Master Data'!$B$48:$B$53,0))</f>
        <v>2.5758086673353865E-2</v>
      </c>
      <c r="G28" s="117">
        <f t="shared" si="3"/>
        <v>278.58</v>
      </c>
      <c r="H28" s="118">
        <f t="shared" si="0"/>
        <v>96667.26</v>
      </c>
      <c r="I28" s="119">
        <f t="shared" si="2"/>
        <v>0.17962398373983735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F632-DCE5-4FD6-B217-EB3C76EB0DB3}">
  <dimension ref="B2:G43"/>
  <sheetViews>
    <sheetView zoomScale="90" zoomScaleNormal="90" workbookViewId="0">
      <selection activeCell="E46" sqref="E46"/>
    </sheetView>
  </sheetViews>
  <sheetFormatPr defaultRowHeight="15" x14ac:dyDescent="0.25"/>
  <cols>
    <col min="2" max="2" width="14.140625" customWidth="1"/>
    <col min="3" max="3" width="30.140625" bestFit="1" customWidth="1"/>
    <col min="4" max="4" width="9.85546875" bestFit="1" customWidth="1"/>
    <col min="5" max="5" width="18.5703125" bestFit="1" customWidth="1"/>
    <col min="7" max="7" width="20.28515625" customWidth="1"/>
  </cols>
  <sheetData>
    <row r="2" spans="3:7" x14ac:dyDescent="0.25">
      <c r="C2" s="208" t="s">
        <v>92</v>
      </c>
      <c r="D2" s="208" t="s">
        <v>93</v>
      </c>
      <c r="E2" s="208" t="s">
        <v>94</v>
      </c>
      <c r="F2" s="134" t="s">
        <v>95</v>
      </c>
    </row>
    <row r="3" spans="3:7" x14ac:dyDescent="0.25">
      <c r="C3" s="121" t="s">
        <v>0</v>
      </c>
      <c r="D3" s="209">
        <v>55.81</v>
      </c>
      <c r="E3" s="210">
        <f>[23]Models!F62</f>
        <v>67.528829137478851</v>
      </c>
      <c r="F3" s="211">
        <f t="shared" ref="F3:F38" si="0">(E3-D3)/D3</f>
        <v>0.20997722876686703</v>
      </c>
    </row>
    <row r="4" spans="3:7" x14ac:dyDescent="0.25">
      <c r="C4" s="121" t="s">
        <v>1</v>
      </c>
      <c r="D4" s="209">
        <v>78.05</v>
      </c>
      <c r="E4" s="210">
        <f>[23]Models!L62</f>
        <v>103.60050149097471</v>
      </c>
      <c r="F4" s="211">
        <f t="shared" si="0"/>
        <v>0.32736068534240503</v>
      </c>
      <c r="G4" s="24">
        <f>AVERAGE(F3:F5)</f>
        <v>0.31681483683318051</v>
      </c>
    </row>
    <row r="5" spans="3:7" x14ac:dyDescent="0.25">
      <c r="C5" s="212" t="s">
        <v>96</v>
      </c>
      <c r="D5" s="213">
        <v>125.37</v>
      </c>
      <c r="E5" s="210">
        <f>[23]Models!R62</f>
        <v>177.16117398944809</v>
      </c>
      <c r="F5" s="211">
        <f t="shared" si="0"/>
        <v>0.41310659639026948</v>
      </c>
    </row>
    <row r="6" spans="3:7" x14ac:dyDescent="0.25">
      <c r="C6" s="121" t="s">
        <v>97</v>
      </c>
      <c r="D6" s="214">
        <v>67.47</v>
      </c>
      <c r="E6" s="210">
        <f>[23]Stipend!G8</f>
        <v>79.59</v>
      </c>
      <c r="F6" s="211">
        <f t="shared" si="0"/>
        <v>0.17963539350822594</v>
      </c>
    </row>
    <row r="7" spans="3:7" x14ac:dyDescent="0.25">
      <c r="C7" s="121" t="s">
        <v>98</v>
      </c>
      <c r="D7" s="214">
        <v>75.91</v>
      </c>
      <c r="E7" s="210">
        <f>[23]Stipend!G9</f>
        <v>89.55</v>
      </c>
      <c r="F7" s="211">
        <f t="shared" si="0"/>
        <v>0.17968647082070874</v>
      </c>
    </row>
    <row r="8" spans="3:7" x14ac:dyDescent="0.25">
      <c r="C8" s="121" t="s">
        <v>99</v>
      </c>
      <c r="D8" s="214">
        <v>84.34</v>
      </c>
      <c r="E8" s="210">
        <f>[23]Stipend!G10</f>
        <v>99.49</v>
      </c>
      <c r="F8" s="211">
        <f t="shared" si="0"/>
        <v>0.17963006876926715</v>
      </c>
    </row>
    <row r="9" spans="3:7" x14ac:dyDescent="0.25">
      <c r="C9" s="121" t="s">
        <v>100</v>
      </c>
      <c r="D9" s="214">
        <v>92.77</v>
      </c>
      <c r="E9" s="210">
        <f>[23]Stipend!G11</f>
        <v>109.43</v>
      </c>
      <c r="F9" s="211">
        <f t="shared" si="0"/>
        <v>0.17958391721461692</v>
      </c>
    </row>
    <row r="10" spans="3:7" x14ac:dyDescent="0.25">
      <c r="C10" s="121" t="s">
        <v>101</v>
      </c>
      <c r="D10" s="214">
        <v>101.21</v>
      </c>
      <c r="E10" s="210">
        <f>[23]Stipend!G12</f>
        <v>119.39</v>
      </c>
      <c r="F10" s="211">
        <f t="shared" si="0"/>
        <v>0.17962651911866423</v>
      </c>
    </row>
    <row r="11" spans="3:7" x14ac:dyDescent="0.25">
      <c r="C11" s="121" t="s">
        <v>102</v>
      </c>
      <c r="D11" s="214">
        <v>109.65</v>
      </c>
      <c r="E11" s="210">
        <f>[23]Stipend!G13</f>
        <v>129.35</v>
      </c>
      <c r="F11" s="211">
        <f t="shared" si="0"/>
        <v>0.17966256269949829</v>
      </c>
    </row>
    <row r="12" spans="3:7" x14ac:dyDescent="0.25">
      <c r="C12" s="121" t="s">
        <v>103</v>
      </c>
      <c r="D12" s="214">
        <v>118.07</v>
      </c>
      <c r="E12" s="210">
        <f>[23]Stipend!G14</f>
        <v>139.28</v>
      </c>
      <c r="F12" s="211">
        <f t="shared" si="0"/>
        <v>0.17963919708647422</v>
      </c>
    </row>
    <row r="13" spans="3:7" x14ac:dyDescent="0.25">
      <c r="C13" s="121" t="s">
        <v>104</v>
      </c>
      <c r="D13" s="214">
        <v>126.51</v>
      </c>
      <c r="E13" s="210">
        <f>[23]Stipend!G15</f>
        <v>149.22999999999999</v>
      </c>
      <c r="F13" s="211">
        <f t="shared" si="0"/>
        <v>0.17959054620188114</v>
      </c>
    </row>
    <row r="14" spans="3:7" x14ac:dyDescent="0.25">
      <c r="C14" s="121" t="s">
        <v>105</v>
      </c>
      <c r="D14" s="214">
        <v>134.94999999999999</v>
      </c>
      <c r="E14" s="210">
        <f>[23]Stipend!G16</f>
        <v>159.19</v>
      </c>
      <c r="F14" s="211">
        <f t="shared" si="0"/>
        <v>0.17962208225268625</v>
      </c>
      <c r="G14" s="24">
        <f>AVERAGE(F6:F26)</f>
        <v>0.17962133378732278</v>
      </c>
    </row>
    <row r="15" spans="3:7" x14ac:dyDescent="0.25">
      <c r="C15" s="121" t="s">
        <v>106</v>
      </c>
      <c r="D15" s="214">
        <v>143.37</v>
      </c>
      <c r="E15" s="210">
        <f>[23]Stipend!G17</f>
        <v>169.12</v>
      </c>
      <c r="F15" s="211">
        <f t="shared" si="0"/>
        <v>0.1796052172700007</v>
      </c>
    </row>
    <row r="16" spans="3:7" x14ac:dyDescent="0.25">
      <c r="C16" s="121" t="s">
        <v>107</v>
      </c>
      <c r="D16" s="214">
        <v>151.81</v>
      </c>
      <c r="E16" s="210">
        <f>[23]Stipend!G18</f>
        <v>179.08</v>
      </c>
      <c r="F16" s="211">
        <f t="shared" si="0"/>
        <v>0.17963243528094336</v>
      </c>
    </row>
    <row r="17" spans="2:7" x14ac:dyDescent="0.25">
      <c r="C17" s="121" t="s">
        <v>108</v>
      </c>
      <c r="D17" s="214">
        <v>160.25</v>
      </c>
      <c r="E17" s="210">
        <f>[23]Stipend!G19</f>
        <v>189.03</v>
      </c>
      <c r="F17" s="211">
        <f t="shared" si="0"/>
        <v>0.17959438377535103</v>
      </c>
    </row>
    <row r="18" spans="2:7" x14ac:dyDescent="0.25">
      <c r="C18" s="121" t="s">
        <v>109</v>
      </c>
      <c r="D18" s="214">
        <v>168.69</v>
      </c>
      <c r="E18" s="210">
        <f>[23]Stipend!G20</f>
        <v>198.99</v>
      </c>
      <c r="F18" s="211">
        <f t="shared" si="0"/>
        <v>0.17961942023830701</v>
      </c>
    </row>
    <row r="19" spans="2:7" x14ac:dyDescent="0.25">
      <c r="C19" s="121" t="s">
        <v>110</v>
      </c>
      <c r="D19" s="214">
        <v>177.11</v>
      </c>
      <c r="E19" s="210">
        <f>[23]Stipend!G21</f>
        <v>208.92</v>
      </c>
      <c r="F19" s="211">
        <f t="shared" si="0"/>
        <v>0.17960589464174789</v>
      </c>
    </row>
    <row r="20" spans="2:7" x14ac:dyDescent="0.25">
      <c r="C20" s="121" t="s">
        <v>111</v>
      </c>
      <c r="D20" s="214">
        <v>185.55</v>
      </c>
      <c r="E20" s="210">
        <f>[23]Stipend!G22</f>
        <v>218.88</v>
      </c>
      <c r="F20" s="211">
        <f t="shared" si="0"/>
        <v>0.17962813257881963</v>
      </c>
    </row>
    <row r="21" spans="2:7" x14ac:dyDescent="0.25">
      <c r="C21" s="121" t="s">
        <v>112</v>
      </c>
      <c r="D21" s="214">
        <v>193.99</v>
      </c>
      <c r="E21" s="210">
        <f>[23]Stipend!G23</f>
        <v>228.83</v>
      </c>
      <c r="F21" s="211">
        <f t="shared" si="0"/>
        <v>0.17959688643744523</v>
      </c>
    </row>
    <row r="22" spans="2:7" x14ac:dyDescent="0.25">
      <c r="C22" s="121" t="s">
        <v>113</v>
      </c>
      <c r="D22" s="214">
        <v>202.42</v>
      </c>
      <c r="E22" s="210">
        <f>[23]Stipend!G24</f>
        <v>238.78</v>
      </c>
      <c r="F22" s="211">
        <f t="shared" si="0"/>
        <v>0.17962651911866423</v>
      </c>
    </row>
    <row r="23" spans="2:7" x14ac:dyDescent="0.25">
      <c r="C23" s="121" t="s">
        <v>114</v>
      </c>
      <c r="D23" s="214">
        <v>210.01</v>
      </c>
      <c r="E23" s="210">
        <f>[23]Stipend!G25</f>
        <v>247.73</v>
      </c>
      <c r="F23" s="211">
        <f t="shared" si="0"/>
        <v>0.17961049473834578</v>
      </c>
    </row>
    <row r="24" spans="2:7" x14ac:dyDescent="0.25">
      <c r="C24" s="121" t="s">
        <v>115</v>
      </c>
      <c r="D24" s="214">
        <v>219.29</v>
      </c>
      <c r="E24" s="210">
        <f>[23]Stipend!G26</f>
        <v>258.68</v>
      </c>
      <c r="F24" s="211">
        <f t="shared" si="0"/>
        <v>0.17962515390578693</v>
      </c>
    </row>
    <row r="25" spans="2:7" x14ac:dyDescent="0.25">
      <c r="C25" s="121" t="s">
        <v>116</v>
      </c>
      <c r="D25" s="214">
        <v>228.56</v>
      </c>
      <c r="E25" s="210">
        <f>[23]Stipend!G27</f>
        <v>269.61</v>
      </c>
      <c r="F25" s="211">
        <f t="shared" si="0"/>
        <v>0.17960273013650688</v>
      </c>
    </row>
    <row r="26" spans="2:7" x14ac:dyDescent="0.25">
      <c r="C26" s="121" t="s">
        <v>117</v>
      </c>
      <c r="D26" s="214">
        <v>236.16</v>
      </c>
      <c r="E26" s="210">
        <f>[23]Stipend!G28</f>
        <v>278.58</v>
      </c>
      <c r="F26" s="211">
        <f t="shared" si="0"/>
        <v>0.17962398373983735</v>
      </c>
    </row>
    <row r="27" spans="2:7" hidden="1" x14ac:dyDescent="0.25">
      <c r="B27" s="1269" t="s">
        <v>118</v>
      </c>
      <c r="C27" s="215" t="s">
        <v>119</v>
      </c>
      <c r="D27" s="216">
        <v>136.6</v>
      </c>
      <c r="E27" s="217">
        <f>D27</f>
        <v>136.6</v>
      </c>
      <c r="F27" s="218">
        <f t="shared" si="0"/>
        <v>0</v>
      </c>
      <c r="G27" s="1272" t="s">
        <v>120</v>
      </c>
    </row>
    <row r="28" spans="2:7" hidden="1" x14ac:dyDescent="0.25">
      <c r="B28" s="1270"/>
      <c r="C28" s="219" t="s">
        <v>121</v>
      </c>
      <c r="D28" s="220">
        <v>138.29</v>
      </c>
      <c r="E28" s="217">
        <f t="shared" ref="E28:E38" si="1">D28</f>
        <v>138.29</v>
      </c>
      <c r="F28" s="218">
        <f t="shared" si="0"/>
        <v>0</v>
      </c>
      <c r="G28" s="1272"/>
    </row>
    <row r="29" spans="2:7" hidden="1" x14ac:dyDescent="0.25">
      <c r="B29" s="1270"/>
      <c r="C29" s="219" t="s">
        <v>122</v>
      </c>
      <c r="D29" s="220">
        <v>140.72999999999999</v>
      </c>
      <c r="E29" s="217">
        <f t="shared" si="1"/>
        <v>140.72999999999999</v>
      </c>
      <c r="F29" s="218">
        <f t="shared" si="0"/>
        <v>0</v>
      </c>
      <c r="G29" s="1272"/>
    </row>
    <row r="30" spans="2:7" hidden="1" x14ac:dyDescent="0.25">
      <c r="B30" s="1270"/>
      <c r="C30" s="219" t="s">
        <v>123</v>
      </c>
      <c r="D30" s="220">
        <v>162.13999999999999</v>
      </c>
      <c r="E30" s="217">
        <f t="shared" si="1"/>
        <v>162.13999999999999</v>
      </c>
      <c r="F30" s="218">
        <f t="shared" si="0"/>
        <v>0</v>
      </c>
      <c r="G30" s="1272"/>
    </row>
    <row r="31" spans="2:7" hidden="1" x14ac:dyDescent="0.25">
      <c r="B31" s="1270"/>
      <c r="C31" s="219" t="s">
        <v>124</v>
      </c>
      <c r="D31" s="220">
        <v>163.81</v>
      </c>
      <c r="E31" s="217">
        <f t="shared" si="1"/>
        <v>163.81</v>
      </c>
      <c r="F31" s="218">
        <f t="shared" si="0"/>
        <v>0</v>
      </c>
      <c r="G31" s="1272"/>
    </row>
    <row r="32" spans="2:7" hidden="1" x14ac:dyDescent="0.25">
      <c r="B32" s="1270"/>
      <c r="C32" s="219" t="s">
        <v>125</v>
      </c>
      <c r="D32" s="220">
        <v>165.83</v>
      </c>
      <c r="E32" s="217">
        <f t="shared" si="1"/>
        <v>165.83</v>
      </c>
      <c r="F32" s="218">
        <f t="shared" si="0"/>
        <v>0</v>
      </c>
      <c r="G32" s="1272"/>
    </row>
    <row r="33" spans="2:7" hidden="1" x14ac:dyDescent="0.25">
      <c r="B33" s="1270"/>
      <c r="C33" s="219" t="s">
        <v>126</v>
      </c>
      <c r="D33" s="220">
        <v>180.42</v>
      </c>
      <c r="E33" s="217">
        <f t="shared" si="1"/>
        <v>180.42</v>
      </c>
      <c r="F33" s="218">
        <f t="shared" si="0"/>
        <v>0</v>
      </c>
      <c r="G33" s="1272"/>
    </row>
    <row r="34" spans="2:7" hidden="1" x14ac:dyDescent="0.25">
      <c r="B34" s="1270"/>
      <c r="C34" s="219" t="s">
        <v>127</v>
      </c>
      <c r="D34" s="220">
        <v>193.53</v>
      </c>
      <c r="E34" s="217">
        <f t="shared" si="1"/>
        <v>193.53</v>
      </c>
      <c r="F34" s="218">
        <f t="shared" si="0"/>
        <v>0</v>
      </c>
      <c r="G34" s="1272"/>
    </row>
    <row r="35" spans="2:7" hidden="1" x14ac:dyDescent="0.25">
      <c r="B35" s="1270"/>
      <c r="C35" s="219" t="s">
        <v>128</v>
      </c>
      <c r="D35" s="220">
        <v>211.96</v>
      </c>
      <c r="E35" s="217">
        <f t="shared" si="1"/>
        <v>211.96</v>
      </c>
      <c r="F35" s="218">
        <f t="shared" si="0"/>
        <v>0</v>
      </c>
      <c r="G35" s="1272"/>
    </row>
    <row r="36" spans="2:7" hidden="1" x14ac:dyDescent="0.25">
      <c r="B36" s="1270"/>
      <c r="C36" s="219" t="s">
        <v>129</v>
      </c>
      <c r="D36" s="220">
        <v>232</v>
      </c>
      <c r="E36" s="217">
        <f t="shared" si="1"/>
        <v>232</v>
      </c>
      <c r="F36" s="218">
        <f t="shared" si="0"/>
        <v>0</v>
      </c>
      <c r="G36" s="1272"/>
    </row>
    <row r="37" spans="2:7" hidden="1" x14ac:dyDescent="0.25">
      <c r="B37" s="1270"/>
      <c r="C37" s="219" t="s">
        <v>130</v>
      </c>
      <c r="D37" s="220">
        <v>235.64</v>
      </c>
      <c r="E37" s="217">
        <f t="shared" si="1"/>
        <v>235.64</v>
      </c>
      <c r="F37" s="218">
        <f t="shared" si="0"/>
        <v>0</v>
      </c>
      <c r="G37" s="1272"/>
    </row>
    <row r="38" spans="2:7" hidden="1" x14ac:dyDescent="0.25">
      <c r="B38" s="1271"/>
      <c r="C38" s="219" t="s">
        <v>131</v>
      </c>
      <c r="D38" s="220">
        <v>290.95999999999998</v>
      </c>
      <c r="E38" s="217">
        <f t="shared" si="1"/>
        <v>290.95999999999998</v>
      </c>
      <c r="F38" s="218">
        <f t="shared" si="0"/>
        <v>0</v>
      </c>
      <c r="G38" s="1272"/>
    </row>
    <row r="39" spans="2:7" x14ac:dyDescent="0.25">
      <c r="C39" s="121" t="s">
        <v>132</v>
      </c>
      <c r="D39" s="209">
        <v>54.91</v>
      </c>
      <c r="E39" s="210">
        <f>'[23]Add-Ons'!F13</f>
        <v>59.84</v>
      </c>
      <c r="F39" s="211">
        <f>(E39-D39)/D39</f>
        <v>8.9783281733746265E-2</v>
      </c>
    </row>
    <row r="40" spans="2:7" x14ac:dyDescent="0.25">
      <c r="C40" s="121" t="s">
        <v>46</v>
      </c>
      <c r="D40" s="209">
        <v>22.76</v>
      </c>
      <c r="E40" s="210">
        <f>'[23]Add-Ons'!C13</f>
        <v>27.85</v>
      </c>
      <c r="F40" s="211">
        <f>(E40-D40)/D40</f>
        <v>0.22363796133567659</v>
      </c>
    </row>
    <row r="41" spans="2:7" x14ac:dyDescent="0.25">
      <c r="C41" s="121" t="s">
        <v>47</v>
      </c>
      <c r="D41" s="209">
        <v>43.28</v>
      </c>
      <c r="E41" s="210">
        <f>'[23]Add-Ons'!D13</f>
        <v>48.76</v>
      </c>
      <c r="F41" s="211">
        <f>(E41-D41)/D41</f>
        <v>0.12661737523105354</v>
      </c>
      <c r="G41" s="24">
        <f>AVERAGE(F39:F43)</f>
        <v>0.13302945311740064</v>
      </c>
    </row>
    <row r="42" spans="2:7" x14ac:dyDescent="0.25">
      <c r="C42" s="121" t="s">
        <v>48</v>
      </c>
      <c r="D42" s="209">
        <v>65.2</v>
      </c>
      <c r="E42" s="210">
        <f>'[23]Add-Ons'!E13</f>
        <v>75.92</v>
      </c>
      <c r="F42" s="211">
        <f>(E42-D42)/D42</f>
        <v>0.1644171779141104</v>
      </c>
    </row>
    <row r="43" spans="2:7" x14ac:dyDescent="0.25">
      <c r="C43" s="121" t="s">
        <v>50</v>
      </c>
      <c r="D43" s="209">
        <v>53.22</v>
      </c>
      <c r="E43" s="210">
        <f>'[23]Add-Ons'!G13</f>
        <v>56.45</v>
      </c>
      <c r="F43" s="211">
        <f>(E43-D43)/D43</f>
        <v>6.0691469372416464E-2</v>
      </c>
    </row>
  </sheetData>
  <mergeCells count="2">
    <mergeCell ref="B27:B38"/>
    <mergeCell ref="G27:G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C3630-4825-4934-A3C7-EB652FBFD01B}">
  <dimension ref="A1:DB53"/>
  <sheetViews>
    <sheetView topLeftCell="BW1" zoomScale="90" zoomScaleNormal="90" workbookViewId="0">
      <selection activeCell="CK45" sqref="CK45"/>
    </sheetView>
  </sheetViews>
  <sheetFormatPr defaultColWidth="9.140625" defaultRowHeight="12.75" x14ac:dyDescent="0.2"/>
  <cols>
    <col min="1" max="1" width="38.42578125" style="275" customWidth="1"/>
    <col min="2" max="2" width="12.85546875" style="280" customWidth="1"/>
    <col min="3" max="82" width="7.7109375" style="275" customWidth="1"/>
    <col min="83" max="86" width="9.140625" style="275"/>
    <col min="87" max="87" width="9.5703125" style="275" bestFit="1" customWidth="1"/>
    <col min="88" max="97" width="9.140625" style="275"/>
    <col min="98" max="98" width="10.140625" style="275" bestFit="1" customWidth="1"/>
    <col min="99" max="16384" width="9.140625" style="275"/>
  </cols>
  <sheetData>
    <row r="1" spans="1:106" ht="18" x14ac:dyDescent="0.25">
      <c r="A1" s="1110" t="s">
        <v>249</v>
      </c>
      <c r="B1" s="1111"/>
    </row>
    <row r="2" spans="1:106" ht="15.75" x14ac:dyDescent="0.25">
      <c r="A2" s="276" t="s">
        <v>250</v>
      </c>
      <c r="B2" s="277"/>
    </row>
    <row r="3" spans="1:106" ht="15.75" thickBot="1" x14ac:dyDescent="0.3">
      <c r="A3" s="278" t="s">
        <v>251</v>
      </c>
      <c r="B3" s="279"/>
    </row>
    <row r="5" spans="1:106" x14ac:dyDescent="0.2">
      <c r="CE5" s="275" t="s">
        <v>252</v>
      </c>
      <c r="CF5" s="275" t="s">
        <v>253</v>
      </c>
      <c r="CG5" s="275" t="s">
        <v>254</v>
      </c>
      <c r="CH5" s="275" t="s">
        <v>255</v>
      </c>
    </row>
    <row r="6" spans="1:106" x14ac:dyDescent="0.2">
      <c r="CC6" s="281" t="s">
        <v>256</v>
      </c>
      <c r="CD6" s="281" t="s">
        <v>256</v>
      </c>
      <c r="CE6" s="281" t="s">
        <v>256</v>
      </c>
      <c r="CF6" s="281" t="s">
        <v>256</v>
      </c>
      <c r="CG6" s="282" t="s">
        <v>257</v>
      </c>
      <c r="CH6" s="282" t="s">
        <v>257</v>
      </c>
      <c r="CI6" s="282" t="s">
        <v>257</v>
      </c>
      <c r="CJ6" s="282" t="s">
        <v>257</v>
      </c>
      <c r="CK6" s="283" t="s">
        <v>258</v>
      </c>
      <c r="CL6" s="283" t="s">
        <v>258</v>
      </c>
      <c r="CM6" s="283" t="s">
        <v>258</v>
      </c>
      <c r="CN6" s="283" t="s">
        <v>258</v>
      </c>
      <c r="CO6" s="284" t="s">
        <v>259</v>
      </c>
      <c r="CP6" s="284" t="s">
        <v>259</v>
      </c>
      <c r="CQ6" s="284" t="s">
        <v>259</v>
      </c>
      <c r="CR6" s="284" t="s">
        <v>259</v>
      </c>
    </row>
    <row r="7" spans="1:106" s="280" customFormat="1" x14ac:dyDescent="0.2">
      <c r="B7" s="280" t="s">
        <v>260</v>
      </c>
      <c r="C7" s="285" t="s">
        <v>261</v>
      </c>
      <c r="D7" s="285" t="s">
        <v>262</v>
      </c>
      <c r="E7" s="285" t="s">
        <v>263</v>
      </c>
      <c r="F7" s="285" t="s">
        <v>264</v>
      </c>
      <c r="G7" s="285" t="s">
        <v>265</v>
      </c>
      <c r="H7" s="285" t="s">
        <v>266</v>
      </c>
      <c r="I7" s="285" t="s">
        <v>267</v>
      </c>
      <c r="J7" s="285" t="s">
        <v>268</v>
      </c>
      <c r="K7" s="285" t="s">
        <v>269</v>
      </c>
      <c r="L7" s="285" t="s">
        <v>270</v>
      </c>
      <c r="M7" s="285" t="s">
        <v>271</v>
      </c>
      <c r="N7" s="285" t="s">
        <v>272</v>
      </c>
      <c r="O7" s="285" t="s">
        <v>273</v>
      </c>
      <c r="P7" s="285" t="s">
        <v>274</v>
      </c>
      <c r="Q7" s="285" t="s">
        <v>275</v>
      </c>
      <c r="R7" s="285" t="s">
        <v>276</v>
      </c>
      <c r="S7" s="285" t="s">
        <v>277</v>
      </c>
      <c r="T7" s="285" t="s">
        <v>278</v>
      </c>
      <c r="U7" s="285" t="s">
        <v>279</v>
      </c>
      <c r="V7" s="285" t="s">
        <v>280</v>
      </c>
      <c r="W7" s="285" t="s">
        <v>281</v>
      </c>
      <c r="X7" s="285" t="s">
        <v>282</v>
      </c>
      <c r="Y7" s="285" t="s">
        <v>283</v>
      </c>
      <c r="Z7" s="285" t="s">
        <v>284</v>
      </c>
      <c r="AA7" s="285" t="s">
        <v>285</v>
      </c>
      <c r="AB7" s="285" t="s">
        <v>286</v>
      </c>
      <c r="AC7" s="285" t="s">
        <v>287</v>
      </c>
      <c r="AD7" s="285" t="s">
        <v>288</v>
      </c>
      <c r="AE7" s="285" t="s">
        <v>289</v>
      </c>
      <c r="AF7" s="285" t="s">
        <v>290</v>
      </c>
      <c r="AG7" s="285" t="s">
        <v>291</v>
      </c>
      <c r="AH7" s="285" t="s">
        <v>292</v>
      </c>
      <c r="AI7" s="285" t="s">
        <v>293</v>
      </c>
      <c r="AJ7" s="285" t="s">
        <v>294</v>
      </c>
      <c r="AK7" s="285" t="s">
        <v>295</v>
      </c>
      <c r="AL7" s="285" t="s">
        <v>296</v>
      </c>
      <c r="AM7" s="285" t="s">
        <v>297</v>
      </c>
      <c r="AN7" s="285" t="s">
        <v>298</v>
      </c>
      <c r="AO7" s="285" t="s">
        <v>299</v>
      </c>
      <c r="AP7" s="285" t="s">
        <v>300</v>
      </c>
      <c r="AQ7" s="285" t="s">
        <v>301</v>
      </c>
      <c r="AR7" s="285" t="s">
        <v>302</v>
      </c>
      <c r="AS7" s="285" t="s">
        <v>303</v>
      </c>
      <c r="AT7" s="285" t="s">
        <v>304</v>
      </c>
      <c r="AU7" s="280" t="s">
        <v>305</v>
      </c>
      <c r="AV7" s="280" t="s">
        <v>306</v>
      </c>
      <c r="AW7" s="280" t="s">
        <v>307</v>
      </c>
      <c r="AX7" s="280" t="s">
        <v>308</v>
      </c>
      <c r="AY7" s="280" t="s">
        <v>309</v>
      </c>
      <c r="AZ7" s="280" t="s">
        <v>310</v>
      </c>
      <c r="BA7" s="280" t="s">
        <v>311</v>
      </c>
      <c r="BB7" s="280" t="s">
        <v>312</v>
      </c>
      <c r="BC7" s="280" t="s">
        <v>313</v>
      </c>
      <c r="BD7" s="280" t="s">
        <v>314</v>
      </c>
      <c r="BE7" s="280" t="s">
        <v>315</v>
      </c>
      <c r="BF7" s="280" t="s">
        <v>316</v>
      </c>
      <c r="BG7" s="280" t="s">
        <v>317</v>
      </c>
      <c r="BH7" s="280" t="s">
        <v>318</v>
      </c>
      <c r="BI7" s="280" t="s">
        <v>319</v>
      </c>
      <c r="BJ7" s="280" t="s">
        <v>320</v>
      </c>
      <c r="BK7" s="280" t="s">
        <v>321</v>
      </c>
      <c r="BL7" s="280" t="s">
        <v>322</v>
      </c>
      <c r="BM7" s="280" t="s">
        <v>323</v>
      </c>
      <c r="BN7" s="280" t="s">
        <v>324</v>
      </c>
      <c r="BO7" s="280" t="s">
        <v>325</v>
      </c>
      <c r="BP7" s="280" t="s">
        <v>326</v>
      </c>
      <c r="BQ7" s="280" t="s">
        <v>327</v>
      </c>
      <c r="BR7" s="280" t="s">
        <v>328</v>
      </c>
      <c r="BS7" s="280" t="s">
        <v>329</v>
      </c>
      <c r="BT7" s="280" t="s">
        <v>330</v>
      </c>
      <c r="BU7" s="280" t="s">
        <v>331</v>
      </c>
      <c r="BV7" s="280" t="s">
        <v>332</v>
      </c>
      <c r="BW7" s="280" t="s">
        <v>333</v>
      </c>
      <c r="BX7" s="280" t="s">
        <v>334</v>
      </c>
      <c r="BY7" s="280" t="s">
        <v>335</v>
      </c>
      <c r="BZ7" s="280" t="s">
        <v>336</v>
      </c>
      <c r="CA7" s="280" t="s">
        <v>337</v>
      </c>
      <c r="CB7" s="280" t="s">
        <v>338</v>
      </c>
      <c r="CC7" s="280" t="s">
        <v>339</v>
      </c>
      <c r="CD7" s="280" t="s">
        <v>340</v>
      </c>
      <c r="CE7" s="280" t="s">
        <v>341</v>
      </c>
      <c r="CF7" s="280" t="s">
        <v>342</v>
      </c>
      <c r="CG7" s="280" t="s">
        <v>343</v>
      </c>
      <c r="CH7" s="280" t="s">
        <v>344</v>
      </c>
      <c r="CI7" s="280" t="s">
        <v>345</v>
      </c>
      <c r="CJ7" s="280" t="s">
        <v>346</v>
      </c>
      <c r="CK7" s="280" t="s">
        <v>347</v>
      </c>
      <c r="CL7" s="280" t="s">
        <v>348</v>
      </c>
      <c r="CM7" s="280" t="s">
        <v>349</v>
      </c>
      <c r="CN7" s="280" t="s">
        <v>350</v>
      </c>
      <c r="CO7" s="280" t="s">
        <v>351</v>
      </c>
      <c r="CP7" s="280" t="s">
        <v>352</v>
      </c>
      <c r="CQ7" s="280" t="s">
        <v>353</v>
      </c>
      <c r="CR7" s="280" t="s">
        <v>354</v>
      </c>
      <c r="CS7" s="280" t="s">
        <v>355</v>
      </c>
      <c r="CT7" s="280" t="s">
        <v>356</v>
      </c>
      <c r="CU7" s="280" t="s">
        <v>357</v>
      </c>
      <c r="CV7" s="280" t="s">
        <v>358</v>
      </c>
      <c r="CW7" s="280" t="s">
        <v>359</v>
      </c>
      <c r="CX7" s="280" t="s">
        <v>360</v>
      </c>
      <c r="CY7" s="280" t="s">
        <v>361</v>
      </c>
      <c r="CZ7" s="280" t="s">
        <v>362</v>
      </c>
      <c r="DA7" s="280" t="s">
        <v>363</v>
      </c>
      <c r="DB7" s="280" t="s">
        <v>364</v>
      </c>
    </row>
    <row r="8" spans="1:106" x14ac:dyDescent="0.2">
      <c r="A8" s="280" t="s">
        <v>365</v>
      </c>
      <c r="B8" s="280" t="s">
        <v>366</v>
      </c>
      <c r="C8" s="286">
        <v>2.00628152344725</v>
      </c>
      <c r="D8" s="286">
        <v>2.0289884930558402</v>
      </c>
      <c r="E8" s="286">
        <v>2.0375016562590802</v>
      </c>
      <c r="F8" s="286">
        <v>2.0607449869168599</v>
      </c>
      <c r="G8" s="286">
        <v>2.0744332275644801</v>
      </c>
      <c r="H8" s="286">
        <v>2.08454547450836</v>
      </c>
      <c r="I8" s="286">
        <v>2.1206746557150402</v>
      </c>
      <c r="J8" s="286">
        <v>2.14275729334011</v>
      </c>
      <c r="K8" s="286">
        <v>2.1573758168938499</v>
      </c>
      <c r="L8" s="286">
        <v>2.1832269913207099</v>
      </c>
      <c r="M8" s="286">
        <v>2.2041365810243998</v>
      </c>
      <c r="N8" s="286">
        <v>2.1899931166757001</v>
      </c>
      <c r="O8" s="286">
        <v>2.2072571273119199</v>
      </c>
      <c r="P8" s="286">
        <v>2.2278061460830898</v>
      </c>
      <c r="Q8" s="286">
        <v>2.2459872624776498</v>
      </c>
      <c r="R8" s="286">
        <v>2.2737796851626002</v>
      </c>
      <c r="S8" s="286">
        <v>2.2969718599533899</v>
      </c>
      <c r="T8" s="286">
        <v>2.3348646382960099</v>
      </c>
      <c r="U8" s="286">
        <v>2.3735648754926002</v>
      </c>
      <c r="V8" s="286">
        <v>2.3220801273912</v>
      </c>
      <c r="W8" s="286">
        <v>2.3034285045676701</v>
      </c>
      <c r="X8" s="286">
        <v>2.3147021401619101</v>
      </c>
      <c r="Y8" s="286">
        <v>2.3337614610957198</v>
      </c>
      <c r="Z8" s="286">
        <v>2.3528576086547801</v>
      </c>
      <c r="AA8" s="286">
        <v>2.35647771513222</v>
      </c>
      <c r="AB8" s="286">
        <v>2.3596025653367101</v>
      </c>
      <c r="AC8" s="286">
        <v>2.3673890181389599</v>
      </c>
      <c r="AD8" s="286">
        <v>2.3902843413905099</v>
      </c>
      <c r="AE8" s="286">
        <v>2.4075011397303001</v>
      </c>
      <c r="AF8" s="286">
        <v>2.4441794059222399</v>
      </c>
      <c r="AG8" s="286">
        <v>2.4606450441339098</v>
      </c>
      <c r="AH8" s="286">
        <v>2.4683177087339598</v>
      </c>
      <c r="AI8" s="286">
        <v>2.4799514472049</v>
      </c>
      <c r="AJ8" s="286">
        <v>2.4866052278032602</v>
      </c>
      <c r="AK8" s="286">
        <v>2.49805925339983</v>
      </c>
      <c r="AL8" s="286">
        <v>2.5181882805357798</v>
      </c>
      <c r="AM8" s="286">
        <v>2.5229787830159101</v>
      </c>
      <c r="AN8" s="286">
        <v>2.52346335903882</v>
      </c>
      <c r="AO8" s="286">
        <v>2.5387532942889002</v>
      </c>
      <c r="AP8" s="286">
        <v>2.5497773093796798</v>
      </c>
      <c r="AQ8" s="286">
        <v>2.5636066148424002</v>
      </c>
      <c r="AR8" s="286">
        <v>2.56792955597742</v>
      </c>
      <c r="AS8" s="286">
        <v>2.57495679166504</v>
      </c>
      <c r="AT8" s="286">
        <v>2.5708478641900898</v>
      </c>
      <c r="AU8" s="286">
        <v>2.5617405316734598</v>
      </c>
      <c r="AV8" s="286">
        <v>2.5735873439772798</v>
      </c>
      <c r="AW8" s="286">
        <v>2.5767155739846399</v>
      </c>
      <c r="AX8" s="286">
        <v>2.57726677772387</v>
      </c>
      <c r="AY8" s="286">
        <v>2.5714104290309301</v>
      </c>
      <c r="AZ8" s="286">
        <v>2.5919136046640499</v>
      </c>
      <c r="BA8" s="286">
        <v>2.6072565906426499</v>
      </c>
      <c r="BB8" s="286">
        <v>2.6258801771662501</v>
      </c>
      <c r="BC8" s="286">
        <v>2.6432306689598501</v>
      </c>
      <c r="BD8" s="286">
        <v>2.6454476861951899</v>
      </c>
      <c r="BE8" s="286">
        <v>2.6517812730067698</v>
      </c>
      <c r="BF8" s="286">
        <v>2.6733971140650601</v>
      </c>
      <c r="BG8" s="286">
        <v>2.7001626673320298</v>
      </c>
      <c r="BH8" s="286">
        <v>2.7186749307887399</v>
      </c>
      <c r="BI8" s="286">
        <v>2.7312502770766902</v>
      </c>
      <c r="BJ8" s="286">
        <v>2.7449673362036799</v>
      </c>
      <c r="BK8" s="286">
        <v>2.74964123298852</v>
      </c>
      <c r="BL8" s="286">
        <v>2.76892419756365</v>
      </c>
      <c r="BM8" s="286">
        <v>2.7854306387802099</v>
      </c>
      <c r="BN8" s="286">
        <v>2.7987928855446702</v>
      </c>
      <c r="BO8" s="286">
        <v>2.80587239388006</v>
      </c>
      <c r="BP8" s="286">
        <v>2.7900748919912099</v>
      </c>
      <c r="BQ8" s="286">
        <v>2.8027670186365801</v>
      </c>
      <c r="BR8" s="286">
        <v>2.81899770482157</v>
      </c>
      <c r="BS8" s="286">
        <v>2.8437972933142301</v>
      </c>
      <c r="BT8" s="286">
        <v>2.8770723994158698</v>
      </c>
      <c r="BU8" s="286">
        <v>2.9193140754345901</v>
      </c>
      <c r="BV8" s="286">
        <v>2.9829435493595602</v>
      </c>
      <c r="BW8" s="286">
        <v>3.03684630224281</v>
      </c>
      <c r="BX8" s="286">
        <v>3.0939993473318301</v>
      </c>
      <c r="BY8" s="286">
        <v>3.1315060095292502</v>
      </c>
      <c r="BZ8" s="286">
        <v>3.1709241734295301</v>
      </c>
      <c r="CA8" s="286">
        <v>3.1806721825302202</v>
      </c>
      <c r="CB8" s="286">
        <v>3.1784604162518999</v>
      </c>
      <c r="CC8" s="286">
        <v>3.2022153247244498</v>
      </c>
      <c r="CD8" s="286">
        <v>3.2228466011932602</v>
      </c>
      <c r="CE8" s="286">
        <v>3.23550782587207</v>
      </c>
      <c r="CF8" s="286">
        <v>3.2578443343391998</v>
      </c>
      <c r="CG8" s="286">
        <v>3.2785336061586099</v>
      </c>
      <c r="CH8" s="286">
        <v>3.2945750495459198</v>
      </c>
      <c r="CI8" s="286">
        <v>3.3197866008054402</v>
      </c>
      <c r="CJ8" s="286">
        <v>3.3417226906935502</v>
      </c>
      <c r="CK8" s="286">
        <v>3.36166301106931</v>
      </c>
      <c r="CL8" s="286">
        <v>3.3822166895578301</v>
      </c>
      <c r="CM8" s="286">
        <v>3.4010128419302901</v>
      </c>
      <c r="CN8" s="286">
        <v>3.4201372554861198</v>
      </c>
      <c r="CO8" s="286">
        <v>3.4400186137155999</v>
      </c>
      <c r="CP8" s="286">
        <v>3.4615101467212601</v>
      </c>
      <c r="CQ8" s="286">
        <v>3.4818284987769199</v>
      </c>
      <c r="CR8" s="286">
        <v>3.5028392058351798</v>
      </c>
      <c r="CS8" s="286">
        <v>3.5249202930579</v>
      </c>
      <c r="CT8" s="286">
        <v>3.5460071373514799</v>
      </c>
      <c r="CU8" s="286">
        <v>3.5669972330235602</v>
      </c>
      <c r="CV8" s="286">
        <v>3.58692701237405</v>
      </c>
      <c r="CW8" s="286">
        <v>3.6082038272031101</v>
      </c>
      <c r="CX8" s="286">
        <v>3.6277494069088498</v>
      </c>
      <c r="CY8" s="286">
        <v>3.6500031303623102</v>
      </c>
      <c r="CZ8" s="286">
        <v>3.6695569189604802</v>
      </c>
      <c r="DA8" s="286">
        <v>3.6905864228250498</v>
      </c>
      <c r="DB8" s="286">
        <v>3.71149820318655</v>
      </c>
    </row>
    <row r="9" spans="1:106" x14ac:dyDescent="0.2">
      <c r="A9" s="280" t="s">
        <v>367</v>
      </c>
      <c r="B9" s="280" t="s">
        <v>368</v>
      </c>
      <c r="C9" s="286">
        <v>2.00628152344725</v>
      </c>
      <c r="D9" s="286">
        <v>2.0289884930558402</v>
      </c>
      <c r="E9" s="286">
        <v>2.0375016562590802</v>
      </c>
      <c r="F9" s="286">
        <v>2.0607449869168599</v>
      </c>
      <c r="G9" s="286">
        <v>2.0744332275644801</v>
      </c>
      <c r="H9" s="286">
        <v>2.08454547450836</v>
      </c>
      <c r="I9" s="286">
        <v>2.1206746557150402</v>
      </c>
      <c r="J9" s="286">
        <v>2.14275729334011</v>
      </c>
      <c r="K9" s="286">
        <v>2.1573758168938499</v>
      </c>
      <c r="L9" s="286">
        <v>2.1832269913207099</v>
      </c>
      <c r="M9" s="286">
        <v>2.2041365810243998</v>
      </c>
      <c r="N9" s="286">
        <v>2.1899931166757001</v>
      </c>
      <c r="O9" s="286">
        <v>2.2072571273119199</v>
      </c>
      <c r="P9" s="286">
        <v>2.2278061460830898</v>
      </c>
      <c r="Q9" s="286">
        <v>2.2459872624776498</v>
      </c>
      <c r="R9" s="286">
        <v>2.2737796851626002</v>
      </c>
      <c r="S9" s="286">
        <v>2.2969718599533899</v>
      </c>
      <c r="T9" s="286">
        <v>2.3348646382960099</v>
      </c>
      <c r="U9" s="286">
        <v>2.3735648754926002</v>
      </c>
      <c r="V9" s="286">
        <v>2.3220801273912</v>
      </c>
      <c r="W9" s="286">
        <v>2.3034285045676701</v>
      </c>
      <c r="X9" s="286">
        <v>2.3147021401619101</v>
      </c>
      <c r="Y9" s="286">
        <v>2.3337614610957198</v>
      </c>
      <c r="Z9" s="286">
        <v>2.3528576086547801</v>
      </c>
      <c r="AA9" s="286">
        <v>2.35647771513222</v>
      </c>
      <c r="AB9" s="286">
        <v>2.3596025653367101</v>
      </c>
      <c r="AC9" s="286">
        <v>2.3673890181389599</v>
      </c>
      <c r="AD9" s="286">
        <v>2.3902843413905099</v>
      </c>
      <c r="AE9" s="286">
        <v>2.4075011397303001</v>
      </c>
      <c r="AF9" s="286">
        <v>2.4441794059222399</v>
      </c>
      <c r="AG9" s="286">
        <v>2.4606450441339098</v>
      </c>
      <c r="AH9" s="286">
        <v>2.4683177087339598</v>
      </c>
      <c r="AI9" s="286">
        <v>2.4799514472049</v>
      </c>
      <c r="AJ9" s="286">
        <v>2.4866052278032602</v>
      </c>
      <c r="AK9" s="286">
        <v>2.49805925339983</v>
      </c>
      <c r="AL9" s="286">
        <v>2.5181882805357798</v>
      </c>
      <c r="AM9" s="286">
        <v>2.5229787830159101</v>
      </c>
      <c r="AN9" s="286">
        <v>2.52346335903882</v>
      </c>
      <c r="AO9" s="286">
        <v>2.5387532942889002</v>
      </c>
      <c r="AP9" s="286">
        <v>2.5497773093796798</v>
      </c>
      <c r="AQ9" s="286">
        <v>2.5636066148424002</v>
      </c>
      <c r="AR9" s="286">
        <v>2.56792955597742</v>
      </c>
      <c r="AS9" s="286">
        <v>2.57495679166504</v>
      </c>
      <c r="AT9" s="286">
        <v>2.5708478641900898</v>
      </c>
      <c r="AU9" s="286">
        <v>2.5617405316734598</v>
      </c>
      <c r="AV9" s="286">
        <v>2.5735873439772798</v>
      </c>
      <c r="AW9" s="286">
        <v>2.5767155739846399</v>
      </c>
      <c r="AX9" s="286">
        <v>2.57726677772387</v>
      </c>
      <c r="AY9" s="286">
        <v>2.5714104290309301</v>
      </c>
      <c r="AZ9" s="286">
        <v>2.5919136046640499</v>
      </c>
      <c r="BA9" s="286">
        <v>2.6072565906426499</v>
      </c>
      <c r="BB9" s="286">
        <v>2.6258801771662501</v>
      </c>
      <c r="BC9" s="286">
        <v>2.6432306689598501</v>
      </c>
      <c r="BD9" s="286">
        <v>2.6454476861951899</v>
      </c>
      <c r="BE9" s="286">
        <v>2.6517812730067698</v>
      </c>
      <c r="BF9" s="286">
        <v>2.6733971140650601</v>
      </c>
      <c r="BG9" s="286">
        <v>2.7001626673320298</v>
      </c>
      <c r="BH9" s="286">
        <v>2.7186749307887399</v>
      </c>
      <c r="BI9" s="286">
        <v>2.7312502770766902</v>
      </c>
      <c r="BJ9" s="286">
        <v>2.7449673362036799</v>
      </c>
      <c r="BK9" s="286">
        <v>2.74964123298852</v>
      </c>
      <c r="BL9" s="286">
        <v>2.76892419756365</v>
      </c>
      <c r="BM9" s="286">
        <v>2.7854306387802099</v>
      </c>
      <c r="BN9" s="286">
        <v>2.7987928855446702</v>
      </c>
      <c r="BO9" s="286">
        <v>2.80587239388006</v>
      </c>
      <c r="BP9" s="286">
        <v>2.7900748919912099</v>
      </c>
      <c r="BQ9" s="286">
        <v>2.8027670186365801</v>
      </c>
      <c r="BR9" s="286">
        <v>2.81899770482157</v>
      </c>
      <c r="BS9" s="286">
        <v>2.8437972933142301</v>
      </c>
      <c r="BT9" s="286">
        <v>2.8770723994158698</v>
      </c>
      <c r="BU9" s="286">
        <v>2.9193140754345901</v>
      </c>
      <c r="BV9" s="286">
        <v>2.9829435493595602</v>
      </c>
      <c r="BW9" s="286">
        <v>3.03684630224281</v>
      </c>
      <c r="BX9" s="286">
        <v>3.0939993473318301</v>
      </c>
      <c r="BY9" s="286">
        <v>3.1315060095292502</v>
      </c>
      <c r="BZ9" s="286">
        <v>3.1709241734295301</v>
      </c>
      <c r="CA9" s="286">
        <v>3.1806721825302202</v>
      </c>
      <c r="CB9" s="286">
        <v>3.1784604162518999</v>
      </c>
      <c r="CC9" s="286">
        <v>3.1880215703579999</v>
      </c>
      <c r="CD9" s="286">
        <v>3.2065682971238298</v>
      </c>
      <c r="CE9" s="286">
        <v>3.2177399457864699</v>
      </c>
      <c r="CF9" s="286">
        <v>3.2378185634282302</v>
      </c>
      <c r="CG9" s="286">
        <v>3.25656770063839</v>
      </c>
      <c r="CH9" s="286">
        <v>3.27110127859771</v>
      </c>
      <c r="CI9" s="286">
        <v>3.2944309740921498</v>
      </c>
      <c r="CJ9" s="286">
        <v>3.3143993617605201</v>
      </c>
      <c r="CK9" s="286">
        <v>3.3322344903885601</v>
      </c>
      <c r="CL9" s="286">
        <v>3.35046325499723</v>
      </c>
      <c r="CM9" s="286">
        <v>3.3669734300441201</v>
      </c>
      <c r="CN9" s="286">
        <v>3.3835781064221901</v>
      </c>
      <c r="CO9" s="286">
        <v>3.40126999342383</v>
      </c>
      <c r="CP9" s="286">
        <v>3.4206485932531399</v>
      </c>
      <c r="CQ9" s="286">
        <v>3.4390532499344801</v>
      </c>
      <c r="CR9" s="286">
        <v>3.4580366768499</v>
      </c>
      <c r="CS9" s="286">
        <v>3.47802438177116</v>
      </c>
      <c r="CT9" s="286">
        <v>3.4970669586175398</v>
      </c>
      <c r="CU9" s="286">
        <v>3.5161376145324899</v>
      </c>
      <c r="CV9" s="286">
        <v>3.53415200640889</v>
      </c>
      <c r="CW9" s="286">
        <v>3.5535194739162299</v>
      </c>
      <c r="CX9" s="286">
        <v>3.5709835716878802</v>
      </c>
      <c r="CY9" s="286">
        <v>3.5912976737319</v>
      </c>
      <c r="CZ9" s="286">
        <v>3.6087192639826902</v>
      </c>
      <c r="DA9" s="286">
        <v>3.6274135114711501</v>
      </c>
      <c r="DB9" s="286">
        <v>3.6458171909181298</v>
      </c>
    </row>
    <row r="10" spans="1:106" x14ac:dyDescent="0.2">
      <c r="A10" s="280" t="s">
        <v>369</v>
      </c>
      <c r="B10" s="280" t="s">
        <v>370</v>
      </c>
      <c r="C10" s="286">
        <v>2.00628152344725</v>
      </c>
      <c r="D10" s="286">
        <v>2.0289884930558402</v>
      </c>
      <c r="E10" s="286">
        <v>2.0375016562590802</v>
      </c>
      <c r="F10" s="286">
        <v>2.0607449869168599</v>
      </c>
      <c r="G10" s="286">
        <v>2.0744332275644801</v>
      </c>
      <c r="H10" s="286">
        <v>2.08454547450836</v>
      </c>
      <c r="I10" s="286">
        <v>2.1206746557150402</v>
      </c>
      <c r="J10" s="286">
        <v>2.14275729334011</v>
      </c>
      <c r="K10" s="286">
        <v>2.1573758168938499</v>
      </c>
      <c r="L10" s="286">
        <v>2.1832269913207099</v>
      </c>
      <c r="M10" s="286">
        <v>2.2041365810243998</v>
      </c>
      <c r="N10" s="286">
        <v>2.1899931166757001</v>
      </c>
      <c r="O10" s="286">
        <v>2.2072571273119199</v>
      </c>
      <c r="P10" s="286">
        <v>2.2278061460830898</v>
      </c>
      <c r="Q10" s="286">
        <v>2.2459872624776498</v>
      </c>
      <c r="R10" s="286">
        <v>2.2737796851626002</v>
      </c>
      <c r="S10" s="286">
        <v>2.2969718599533899</v>
      </c>
      <c r="T10" s="286">
        <v>2.3348646382960099</v>
      </c>
      <c r="U10" s="286">
        <v>2.3735648754926002</v>
      </c>
      <c r="V10" s="286">
        <v>2.3220801273912</v>
      </c>
      <c r="W10" s="286">
        <v>2.3034285045676701</v>
      </c>
      <c r="X10" s="286">
        <v>2.3147021401619101</v>
      </c>
      <c r="Y10" s="286">
        <v>2.3337614610957198</v>
      </c>
      <c r="Z10" s="286">
        <v>2.3528576086547801</v>
      </c>
      <c r="AA10" s="286">
        <v>2.35647771513222</v>
      </c>
      <c r="AB10" s="286">
        <v>2.3596025653367101</v>
      </c>
      <c r="AC10" s="286">
        <v>2.3673890181389599</v>
      </c>
      <c r="AD10" s="286">
        <v>2.3902843413905099</v>
      </c>
      <c r="AE10" s="286">
        <v>2.4075011397303001</v>
      </c>
      <c r="AF10" s="286">
        <v>2.4441794059222399</v>
      </c>
      <c r="AG10" s="286">
        <v>2.4606450441339098</v>
      </c>
      <c r="AH10" s="286">
        <v>2.4683177087339598</v>
      </c>
      <c r="AI10" s="286">
        <v>2.4799514472049</v>
      </c>
      <c r="AJ10" s="286">
        <v>2.4866052278032602</v>
      </c>
      <c r="AK10" s="286">
        <v>2.49805925339983</v>
      </c>
      <c r="AL10" s="286">
        <v>2.5181882805357798</v>
      </c>
      <c r="AM10" s="286">
        <v>2.5229787830159101</v>
      </c>
      <c r="AN10" s="286">
        <v>2.52346335903882</v>
      </c>
      <c r="AO10" s="286">
        <v>2.5387532942889002</v>
      </c>
      <c r="AP10" s="286">
        <v>2.5497773093796798</v>
      </c>
      <c r="AQ10" s="286">
        <v>2.5636066148424002</v>
      </c>
      <c r="AR10" s="286">
        <v>2.56792955597742</v>
      </c>
      <c r="AS10" s="286">
        <v>2.57495679166504</v>
      </c>
      <c r="AT10" s="286">
        <v>2.5708478641900898</v>
      </c>
      <c r="AU10" s="286">
        <v>2.5617405316734598</v>
      </c>
      <c r="AV10" s="286">
        <v>2.5735873439772798</v>
      </c>
      <c r="AW10" s="286">
        <v>2.5767155739846399</v>
      </c>
      <c r="AX10" s="286">
        <v>2.57726677772387</v>
      </c>
      <c r="AY10" s="286">
        <v>2.5714104290309301</v>
      </c>
      <c r="AZ10" s="286">
        <v>2.5919136046640499</v>
      </c>
      <c r="BA10" s="286">
        <v>2.6072565906426499</v>
      </c>
      <c r="BB10" s="286">
        <v>2.6258801771662501</v>
      </c>
      <c r="BC10" s="286">
        <v>2.6432306689598501</v>
      </c>
      <c r="BD10" s="286">
        <v>2.6454476861951899</v>
      </c>
      <c r="BE10" s="286">
        <v>2.6517812730067698</v>
      </c>
      <c r="BF10" s="286">
        <v>2.6733971140650601</v>
      </c>
      <c r="BG10" s="286">
        <v>2.7001626673320298</v>
      </c>
      <c r="BH10" s="286">
        <v>2.7186749307887399</v>
      </c>
      <c r="BI10" s="286">
        <v>2.7312502770766902</v>
      </c>
      <c r="BJ10" s="286">
        <v>2.7449673362036799</v>
      </c>
      <c r="BK10" s="286">
        <v>2.74964123298852</v>
      </c>
      <c r="BL10" s="286">
        <v>2.76892419756365</v>
      </c>
      <c r="BM10" s="286">
        <v>2.7854306387802099</v>
      </c>
      <c r="BN10" s="286">
        <v>2.7987928855446702</v>
      </c>
      <c r="BO10" s="286">
        <v>2.80587239388006</v>
      </c>
      <c r="BP10" s="286">
        <v>2.7900748919912099</v>
      </c>
      <c r="BQ10" s="286">
        <v>2.8027670186365801</v>
      </c>
      <c r="BR10" s="286">
        <v>2.81899770482157</v>
      </c>
      <c r="BS10" s="286">
        <v>2.8437972933142301</v>
      </c>
      <c r="BT10" s="286">
        <v>2.8770723994158698</v>
      </c>
      <c r="BU10" s="286">
        <v>2.9193140754345901</v>
      </c>
      <c r="BV10" s="286">
        <v>2.9829435493595602</v>
      </c>
      <c r="BW10" s="286">
        <v>3.03684630224281</v>
      </c>
      <c r="BX10" s="286">
        <v>3.0939993473318301</v>
      </c>
      <c r="BY10" s="286">
        <v>3.1315060095292502</v>
      </c>
      <c r="BZ10" s="286">
        <v>3.1709241734295301</v>
      </c>
      <c r="CA10" s="286">
        <v>3.1806721825302202</v>
      </c>
      <c r="CB10" s="286">
        <v>3.1784604162518999</v>
      </c>
      <c r="CC10" s="286">
        <v>3.2203626719006402</v>
      </c>
      <c r="CD10" s="286">
        <v>3.2558503521972</v>
      </c>
      <c r="CE10" s="286">
        <v>3.28250565375741</v>
      </c>
      <c r="CF10" s="286">
        <v>3.3173856724403099</v>
      </c>
      <c r="CG10" s="286">
        <v>3.34954361638431</v>
      </c>
      <c r="CH10" s="286">
        <v>3.37623500854547</v>
      </c>
      <c r="CI10" s="286">
        <v>3.4123154818409001</v>
      </c>
      <c r="CJ10" s="286">
        <v>3.4447190783209898</v>
      </c>
      <c r="CK10" s="286">
        <v>3.4751671862337199</v>
      </c>
      <c r="CL10" s="286">
        <v>3.5066179028462598</v>
      </c>
      <c r="CM10" s="286">
        <v>3.5367557450945402</v>
      </c>
      <c r="CN10" s="286">
        <v>3.5676309358667502</v>
      </c>
      <c r="CO10" s="286">
        <v>3.5991177638845602</v>
      </c>
      <c r="CP10" s="286">
        <v>3.6322035396379202</v>
      </c>
      <c r="CQ10" s="286">
        <v>3.66429204645853</v>
      </c>
      <c r="CR10" s="286">
        <v>3.69719679352876</v>
      </c>
      <c r="CS10" s="286">
        <v>3.7313531956252302</v>
      </c>
      <c r="CT10" s="286">
        <v>3.76484448121604</v>
      </c>
      <c r="CU10" s="286">
        <v>3.7986224084603002</v>
      </c>
      <c r="CV10" s="286">
        <v>3.83143978351782</v>
      </c>
      <c r="CW10" s="286">
        <v>3.86585949366602</v>
      </c>
      <c r="CX10" s="286">
        <v>3.89872365759244</v>
      </c>
      <c r="CY10" s="286">
        <v>3.9345009110540201</v>
      </c>
      <c r="CZ10" s="286">
        <v>3.9674025604052798</v>
      </c>
      <c r="DA10" s="286">
        <v>4.0019855391003603</v>
      </c>
      <c r="DB10" s="286">
        <v>4.0366274403892302</v>
      </c>
    </row>
    <row r="12" spans="1:106" x14ac:dyDescent="0.2">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row>
    <row r="13" spans="1:106" x14ac:dyDescent="0.2">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row>
    <row r="14" spans="1:106" x14ac:dyDescent="0.2">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row>
    <row r="15" spans="1:106" x14ac:dyDescent="0.2">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row>
    <row r="16" spans="1:106" x14ac:dyDescent="0.2">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row>
    <row r="17" spans="3:98" x14ac:dyDescent="0.2">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row>
    <row r="18" spans="3:98" x14ac:dyDescent="0.2">
      <c r="CF18" s="289"/>
      <c r="CG18" s="289"/>
      <c r="CH18" s="289"/>
      <c r="CI18" s="289"/>
      <c r="CJ18" s="289"/>
      <c r="CK18" s="289"/>
      <c r="CL18" s="289"/>
      <c r="CM18" s="289"/>
      <c r="CN18" s="289"/>
      <c r="CO18" s="289"/>
      <c r="CP18" s="289"/>
      <c r="CQ18" s="289"/>
      <c r="CR18" s="289"/>
      <c r="CS18" s="289"/>
    </row>
    <row r="19" spans="3:98" x14ac:dyDescent="0.2">
      <c r="CF19" s="289"/>
      <c r="CG19" s="290" t="s">
        <v>371</v>
      </c>
      <c r="CH19" s="291"/>
      <c r="CI19" s="291"/>
      <c r="CJ19" s="292" t="s">
        <v>372</v>
      </c>
      <c r="CK19" s="293"/>
      <c r="CL19" s="293"/>
      <c r="CM19" s="293"/>
      <c r="CN19" s="293"/>
      <c r="CO19" s="293"/>
      <c r="CP19" s="291"/>
      <c r="CQ19" s="291"/>
      <c r="CR19" s="291"/>
      <c r="CS19" s="289"/>
    </row>
    <row r="20" spans="3:98" x14ac:dyDescent="0.2">
      <c r="CF20" s="289"/>
      <c r="CG20" s="294"/>
      <c r="CH20" s="295"/>
      <c r="CI20" s="295"/>
      <c r="CJ20" s="295"/>
      <c r="CK20" s="295"/>
      <c r="CL20" s="295"/>
      <c r="CM20" s="295"/>
      <c r="CN20" s="295"/>
      <c r="CO20" s="295"/>
      <c r="CP20" s="295"/>
      <c r="CQ20" s="295"/>
      <c r="CR20" s="296"/>
      <c r="CS20" s="289"/>
    </row>
    <row r="21" spans="3:98" x14ac:dyDescent="0.2">
      <c r="CF21" s="289"/>
      <c r="CG21" s="297"/>
      <c r="CH21" s="298" t="s">
        <v>373</v>
      </c>
      <c r="CI21" s="299" t="s">
        <v>342</v>
      </c>
      <c r="CJ21" s="291"/>
      <c r="CK21" s="291"/>
      <c r="CL21" s="291"/>
      <c r="CM21" s="291"/>
      <c r="CN21" s="291"/>
      <c r="CO21" s="291"/>
      <c r="CP21" s="291"/>
      <c r="CQ21" s="291"/>
      <c r="CR21" s="300"/>
      <c r="CS21" s="289"/>
    </row>
    <row r="22" spans="3:98" x14ac:dyDescent="0.2">
      <c r="CF22" s="289"/>
      <c r="CG22" s="297"/>
      <c r="CH22" s="291"/>
      <c r="CI22" s="301" t="s">
        <v>374</v>
      </c>
      <c r="CJ22" s="291"/>
      <c r="CK22" s="291"/>
      <c r="CL22" s="291"/>
      <c r="CM22" s="291"/>
      <c r="CN22" s="291"/>
      <c r="CO22" s="291"/>
      <c r="CP22" s="291"/>
      <c r="CQ22" s="291"/>
      <c r="CR22" s="302" t="s">
        <v>375</v>
      </c>
      <c r="CS22" s="289"/>
    </row>
    <row r="23" spans="3:98" x14ac:dyDescent="0.2">
      <c r="CF23" s="289"/>
      <c r="CG23" s="297"/>
      <c r="CH23" s="291"/>
      <c r="CI23" s="303">
        <f>CF9</f>
        <v>3.2378185634282302</v>
      </c>
      <c r="CJ23" s="304"/>
      <c r="CK23" s="291"/>
      <c r="CL23" s="291"/>
      <c r="CM23" s="291"/>
      <c r="CN23" s="291"/>
      <c r="CO23" s="291"/>
      <c r="CP23" s="291"/>
      <c r="CQ23" s="291"/>
      <c r="CR23" s="305">
        <f>CI23</f>
        <v>3.2378185634282302</v>
      </c>
      <c r="CS23" s="289"/>
    </row>
    <row r="24" spans="3:98" x14ac:dyDescent="0.2">
      <c r="CF24" s="289"/>
      <c r="CG24" s="297"/>
      <c r="CH24" s="291"/>
      <c r="CI24" s="291"/>
      <c r="CJ24" s="291"/>
      <c r="CK24" s="291"/>
      <c r="CL24" s="291"/>
      <c r="CM24" s="291"/>
      <c r="CN24" s="291"/>
      <c r="CO24" s="291"/>
      <c r="CP24" s="291"/>
      <c r="CQ24" s="291"/>
      <c r="CR24" s="305"/>
      <c r="CS24" s="289"/>
    </row>
    <row r="25" spans="3:98" x14ac:dyDescent="0.2">
      <c r="CF25" s="289"/>
      <c r="CG25" s="1112" t="s">
        <v>376</v>
      </c>
      <c r="CH25" s="1113"/>
      <c r="CI25" s="1113"/>
      <c r="CJ25" s="291" t="s">
        <v>377</v>
      </c>
      <c r="CK25" s="291"/>
      <c r="CL25" s="291"/>
      <c r="CM25" s="291"/>
      <c r="CN25" s="291"/>
      <c r="CO25" s="291"/>
      <c r="CP25" s="291"/>
      <c r="CQ25" s="291"/>
      <c r="CR25" s="305"/>
      <c r="CS25" s="289"/>
    </row>
    <row r="26" spans="3:98" x14ac:dyDescent="0.2">
      <c r="CF26" s="289"/>
      <c r="CG26" s="306"/>
      <c r="CH26" s="298"/>
      <c r="CI26" s="280" t="s">
        <v>343</v>
      </c>
      <c r="CJ26" s="280" t="s">
        <v>344</v>
      </c>
      <c r="CK26" s="280" t="s">
        <v>345</v>
      </c>
      <c r="CL26" s="280" t="s">
        <v>346</v>
      </c>
      <c r="CM26" s="280" t="s">
        <v>347</v>
      </c>
      <c r="CN26" s="280" t="s">
        <v>348</v>
      </c>
      <c r="CO26" s="280" t="s">
        <v>349</v>
      </c>
      <c r="CP26" s="280" t="s">
        <v>350</v>
      </c>
      <c r="CQ26" s="291"/>
      <c r="CR26" s="305"/>
      <c r="CS26" s="289"/>
    </row>
    <row r="27" spans="3:98" ht="15" x14ac:dyDescent="0.25">
      <c r="CF27" s="289"/>
      <c r="CG27" s="297"/>
      <c r="CH27" s="291"/>
      <c r="CI27" s="282" t="s">
        <v>257</v>
      </c>
      <c r="CJ27" s="282" t="s">
        <v>257</v>
      </c>
      <c r="CK27" s="282" t="s">
        <v>257</v>
      </c>
      <c r="CL27" s="282" t="s">
        <v>257</v>
      </c>
      <c r="CM27" s="283" t="s">
        <v>258</v>
      </c>
      <c r="CN27" s="283" t="s">
        <v>258</v>
      </c>
      <c r="CO27" s="283" t="s">
        <v>258</v>
      </c>
      <c r="CP27" s="283" t="s">
        <v>258</v>
      </c>
      <c r="CQ27" s="291"/>
      <c r="CR27" s="305"/>
      <c r="CS27" s="289"/>
      <c r="CT27" s="307"/>
    </row>
    <row r="28" spans="3:98" x14ac:dyDescent="0.2">
      <c r="CF28" s="289"/>
      <c r="CG28" s="297"/>
      <c r="CH28" s="291"/>
      <c r="CI28" s="308">
        <f>CG9</f>
        <v>3.25656770063839</v>
      </c>
      <c r="CJ28" s="308">
        <f t="shared" ref="CJ28:CP28" si="0">CH9</f>
        <v>3.27110127859771</v>
      </c>
      <c r="CK28" s="308">
        <f t="shared" si="0"/>
        <v>3.2944309740921498</v>
      </c>
      <c r="CL28" s="308">
        <f t="shared" si="0"/>
        <v>3.3143993617605201</v>
      </c>
      <c r="CM28" s="308">
        <f t="shared" si="0"/>
        <v>3.3322344903885601</v>
      </c>
      <c r="CN28" s="308">
        <f t="shared" si="0"/>
        <v>3.35046325499723</v>
      </c>
      <c r="CO28" s="308">
        <f t="shared" si="0"/>
        <v>3.3669734300441201</v>
      </c>
      <c r="CP28" s="308">
        <f t="shared" si="0"/>
        <v>3.3835781064221901</v>
      </c>
      <c r="CQ28" s="291"/>
      <c r="CR28" s="305">
        <f>AVERAGE(CI28:CP28)</f>
        <v>3.3212185746176086</v>
      </c>
      <c r="CS28" s="289"/>
    </row>
    <row r="29" spans="3:98" x14ac:dyDescent="0.2">
      <c r="CF29" s="289"/>
      <c r="CG29" s="297"/>
      <c r="CH29" s="291"/>
      <c r="CI29" s="291"/>
      <c r="CJ29" s="291"/>
      <c r="CK29" s="291"/>
      <c r="CL29" s="291"/>
      <c r="CM29" s="291"/>
      <c r="CN29" s="291"/>
      <c r="CO29" s="291"/>
      <c r="CP29" s="291"/>
      <c r="CQ29" s="291"/>
      <c r="CR29" s="309"/>
      <c r="CS29" s="289"/>
    </row>
    <row r="30" spans="3:98" x14ac:dyDescent="0.2">
      <c r="CF30" s="289"/>
      <c r="CG30" s="297"/>
      <c r="CH30" s="291"/>
      <c r="CI30" s="291"/>
      <c r="CJ30" s="291"/>
      <c r="CK30" s="291"/>
      <c r="CL30" s="291"/>
      <c r="CM30" s="291"/>
      <c r="CN30" s="291"/>
      <c r="CO30" s="291"/>
      <c r="CP30" s="291"/>
      <c r="CQ30" s="310" t="s">
        <v>378</v>
      </c>
      <c r="CR30" s="311">
        <f>(CR28-CR23)/CR23</f>
        <v>2.5758086673353865E-2</v>
      </c>
      <c r="CS30" s="289"/>
      <c r="CT30" s="312"/>
    </row>
    <row r="31" spans="3:98" x14ac:dyDescent="0.2">
      <c r="CF31" s="289"/>
      <c r="CG31" s="313"/>
      <c r="CH31" s="314"/>
      <c r="CI31" s="314"/>
      <c r="CJ31" s="314"/>
      <c r="CK31" s="314"/>
      <c r="CL31" s="314"/>
      <c r="CM31" s="314"/>
      <c r="CN31" s="314"/>
      <c r="CO31" s="314"/>
      <c r="CP31" s="314"/>
      <c r="CQ31" s="314"/>
      <c r="CR31" s="315"/>
      <c r="CS31" s="289"/>
    </row>
    <row r="32" spans="3:98" x14ac:dyDescent="0.2">
      <c r="CF32" s="289"/>
      <c r="CG32" s="289"/>
      <c r="CH32" s="289"/>
      <c r="CI32" s="289"/>
      <c r="CJ32" s="289"/>
      <c r="CK32" s="289"/>
      <c r="CL32" s="289"/>
      <c r="CM32" s="289"/>
      <c r="CN32" s="289"/>
      <c r="CO32" s="289"/>
      <c r="CP32" s="289"/>
      <c r="CQ32" s="289"/>
      <c r="CR32" s="289"/>
      <c r="CS32" s="289"/>
    </row>
    <row r="46" spans="88:97" x14ac:dyDescent="0.2">
      <c r="CJ46" s="286"/>
      <c r="CS46" s="286"/>
    </row>
    <row r="51" spans="88:97" x14ac:dyDescent="0.2">
      <c r="CJ51" s="286"/>
      <c r="CK51" s="286"/>
      <c r="CL51" s="286"/>
      <c r="CM51" s="286"/>
      <c r="CN51" s="286"/>
      <c r="CO51" s="286"/>
      <c r="CP51" s="286"/>
      <c r="CQ51" s="286"/>
      <c r="CS51" s="286"/>
    </row>
    <row r="53" spans="88:97" ht="15" x14ac:dyDescent="0.25">
      <c r="CS53" s="307"/>
    </row>
  </sheetData>
  <mergeCells count="2">
    <mergeCell ref="A1:B1"/>
    <mergeCell ref="CG25:CI25"/>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3BBE-53B1-4610-9A09-BCD13D845D29}">
  <dimension ref="A1:T59"/>
  <sheetViews>
    <sheetView topLeftCell="A4" workbookViewId="0">
      <selection activeCell="D70" sqref="D70"/>
    </sheetView>
  </sheetViews>
  <sheetFormatPr defaultRowHeight="15" x14ac:dyDescent="0.25"/>
  <cols>
    <col min="1" max="1" width="79" customWidth="1"/>
    <col min="2" max="4" width="19.85546875" customWidth="1"/>
    <col min="5" max="5" width="19.85546875" style="1055" customWidth="1"/>
    <col min="6" max="6" width="19.85546875" hidden="1" customWidth="1"/>
    <col min="7" max="7" width="19.85546875" customWidth="1"/>
  </cols>
  <sheetData>
    <row r="1" spans="1:20" ht="15.75" thickBot="1" x14ac:dyDescent="0.3">
      <c r="A1" s="1054" t="s">
        <v>555</v>
      </c>
      <c r="G1" s="43" t="s">
        <v>57</v>
      </c>
    </row>
    <row r="2" spans="1:20" ht="15.75" customHeight="1" thickBot="1" x14ac:dyDescent="0.3">
      <c r="A2" s="1056"/>
      <c r="G2" s="1057">
        <f>'[21]M2022 BLS SALARY CHART (53_PCT)'!C42</f>
        <v>2.5758086673353865E-2</v>
      </c>
      <c r="H2" s="1058"/>
      <c r="I2" s="1059"/>
      <c r="J2" s="1059"/>
      <c r="K2" s="1059"/>
      <c r="L2" s="1059"/>
      <c r="M2" s="1059"/>
      <c r="N2" s="1059"/>
      <c r="O2" s="1059"/>
      <c r="P2" s="1059"/>
      <c r="Q2" s="1059"/>
      <c r="R2" s="1059"/>
      <c r="S2" s="1059"/>
      <c r="T2" s="1060"/>
    </row>
    <row r="3" spans="1:20" ht="43.5" thickBot="1" x14ac:dyDescent="0.3">
      <c r="A3" s="1061" t="s">
        <v>556</v>
      </c>
      <c r="B3" s="1062" t="s">
        <v>447</v>
      </c>
      <c r="C3" s="1063" t="s">
        <v>557</v>
      </c>
      <c r="D3" s="1064" t="s">
        <v>558</v>
      </c>
      <c r="E3" s="1065" t="s">
        <v>559</v>
      </c>
      <c r="F3" s="1062" t="s">
        <v>560</v>
      </c>
      <c r="G3" s="1066"/>
      <c r="H3" s="1067"/>
      <c r="I3" s="1068"/>
      <c r="J3" s="1068"/>
      <c r="K3" s="1068"/>
      <c r="L3" s="1068"/>
      <c r="M3" s="1068"/>
      <c r="N3" s="1068"/>
      <c r="O3" s="1068"/>
      <c r="P3" s="1068"/>
      <c r="Q3" s="1068"/>
      <c r="R3" s="1068"/>
      <c r="S3" s="1068"/>
      <c r="T3" s="1069"/>
    </row>
    <row r="4" spans="1:20" ht="15.75" customHeight="1" thickBot="1" x14ac:dyDescent="0.3">
      <c r="A4" s="1070" t="s">
        <v>561</v>
      </c>
      <c r="B4" s="1071"/>
      <c r="C4" s="1071"/>
      <c r="D4" s="1071"/>
      <c r="E4" s="1072"/>
      <c r="F4" s="1071"/>
      <c r="G4" s="1073"/>
      <c r="H4" s="1074"/>
      <c r="I4" s="1075"/>
      <c r="J4" s="1075"/>
      <c r="K4" s="1075"/>
      <c r="L4" s="1075"/>
      <c r="M4" s="1075"/>
      <c r="N4" s="1075"/>
      <c r="O4" s="1075"/>
      <c r="P4" s="1075"/>
      <c r="Q4" s="1075"/>
      <c r="R4" s="1075"/>
      <c r="S4" s="1075"/>
      <c r="T4" s="1076"/>
    </row>
    <row r="5" spans="1:20" ht="15.75" thickBot="1" x14ac:dyDescent="0.3">
      <c r="A5" s="1077" t="s">
        <v>562</v>
      </c>
      <c r="B5" s="1078">
        <v>1960.4437579999999</v>
      </c>
      <c r="C5" s="1079">
        <f>'[21]M2022 BLS SALARY CHART (53_PCT)'!$J$7</f>
        <v>0.18394825041561585</v>
      </c>
      <c r="D5" s="1080">
        <f>'[21]M2022 BLS SALARY CHART (53_PCT)'!$C$42</f>
        <v>2.5758086673353865E-2</v>
      </c>
      <c r="E5" s="1081">
        <f>B5*(1+C5)*(1+D5)</f>
        <v>2380.8501239094203</v>
      </c>
      <c r="F5" s="1078">
        <f>B5*(G$2+1)</f>
        <v>2010.9410382367994</v>
      </c>
      <c r="G5" s="1082">
        <f>(E5-B5)/B5</f>
        <v>0.21444449206658669</v>
      </c>
    </row>
    <row r="6" spans="1:20" ht="30.75" thickBot="1" x14ac:dyDescent="0.3">
      <c r="A6" s="1083" t="s">
        <v>563</v>
      </c>
      <c r="B6" s="1084">
        <v>1960.4437579999999</v>
      </c>
      <c r="C6" s="1079">
        <f>'[21]M2022 BLS SALARY CHART (53_PCT)'!$J$7</f>
        <v>0.18394825041561585</v>
      </c>
      <c r="D6" s="1080">
        <f>'[21]M2022 BLS SALARY CHART (53_PCT)'!$C$42</f>
        <v>2.5758086673353865E-2</v>
      </c>
      <c r="E6" s="1081">
        <f t="shared" ref="E6:E57" si="0">B6*(1+C6)*(1+D6)</f>
        <v>2380.8501239094203</v>
      </c>
      <c r="F6" s="1078">
        <f>B6*(G$2+1)</f>
        <v>2010.9410382367994</v>
      </c>
      <c r="G6" s="1082">
        <f t="shared" ref="G6:G57" si="1">(E6-B6)/B6</f>
        <v>0.21444449206658669</v>
      </c>
    </row>
    <row r="7" spans="1:20" ht="15.75" thickBot="1" x14ac:dyDescent="0.3">
      <c r="A7" s="1085"/>
      <c r="B7" s="1086"/>
      <c r="C7" s="1079">
        <f>'[21]M2022 BLS SALARY CHART (53_PCT)'!$J$7</f>
        <v>0.18394825041561585</v>
      </c>
      <c r="D7" s="1080"/>
      <c r="E7" s="1081"/>
      <c r="F7" s="1078"/>
      <c r="G7" s="1082"/>
    </row>
    <row r="8" spans="1:20" ht="15.75" thickBot="1" x14ac:dyDescent="0.3">
      <c r="A8" s="1077" t="s">
        <v>564</v>
      </c>
      <c r="B8" s="1078">
        <v>2465.7835409999998</v>
      </c>
      <c r="C8" s="1079">
        <f>'[21]M2022 BLS SALARY CHART (53_PCT)'!$J$7</f>
        <v>0.18394825041561585</v>
      </c>
      <c r="D8" s="1080">
        <f>'[21]M2022 BLS SALARY CHART (53_PCT)'!$C$42</f>
        <v>2.5758086673353865E-2</v>
      </c>
      <c r="E8" s="1081">
        <f t="shared" si="0"/>
        <v>2994.5572399958946</v>
      </c>
      <c r="F8" s="1078">
        <f>B8*(G$2+1)</f>
        <v>2529.2974071668068</v>
      </c>
      <c r="G8" s="1082">
        <f t="shared" si="1"/>
        <v>0.21444449206658683</v>
      </c>
    </row>
    <row r="9" spans="1:20" ht="15.75" thickBot="1" x14ac:dyDescent="0.3">
      <c r="A9" s="1077" t="s">
        <v>565</v>
      </c>
      <c r="B9" s="1078">
        <v>2465.7835409999998</v>
      </c>
      <c r="C9" s="1079">
        <f>'[21]M2022 BLS SALARY CHART (53_PCT)'!$J$7</f>
        <v>0.18394825041561585</v>
      </c>
      <c r="D9" s="1080">
        <f>'[21]M2022 BLS SALARY CHART (53_PCT)'!$C$42</f>
        <v>2.5758086673353865E-2</v>
      </c>
      <c r="E9" s="1081">
        <f t="shared" si="0"/>
        <v>2994.5572399958946</v>
      </c>
      <c r="F9" s="1078">
        <f>B9*(G$2+1)</f>
        <v>2529.2974071668068</v>
      </c>
      <c r="G9" s="1082">
        <f t="shared" si="1"/>
        <v>0.21444449206658683</v>
      </c>
    </row>
    <row r="10" spans="1:20" ht="15.75" thickBot="1" x14ac:dyDescent="0.3">
      <c r="A10" s="1077" t="s">
        <v>566</v>
      </c>
      <c r="B10" s="1078">
        <v>296.27952899999997</v>
      </c>
      <c r="C10" s="1079">
        <f>'[21]M2022 BLS SALARY CHART (53_PCT)'!$J$7</f>
        <v>0.18394825041561585</v>
      </c>
      <c r="D10" s="1080">
        <f>'[21]M2022 BLS SALARY CHART (53_PCT)'!$C$42</f>
        <v>2.5758086673353865E-2</v>
      </c>
      <c r="E10" s="1081">
        <f t="shared" si="0"/>
        <v>359.81504210613258</v>
      </c>
      <c r="F10" s="1078">
        <f>B10*(G$2+1)</f>
        <v>303.9111227875224</v>
      </c>
      <c r="G10" s="1082">
        <f t="shared" si="1"/>
        <v>0.21444449206658694</v>
      </c>
    </row>
    <row r="11" spans="1:20" ht="15.75" thickBot="1" x14ac:dyDescent="0.3">
      <c r="A11" s="1077" t="s">
        <v>567</v>
      </c>
      <c r="B11" s="1078">
        <v>511.31468699999994</v>
      </c>
      <c r="C11" s="1079">
        <f>'[21]M2022 BLS SALARY CHART (53_PCT)'!$J$7</f>
        <v>0.18394825041561585</v>
      </c>
      <c r="D11" s="1080">
        <f>'[21]M2022 BLS SALARY CHART (53_PCT)'!$C$42</f>
        <v>2.5758086673353865E-2</v>
      </c>
      <c r="E11" s="1081">
        <f t="shared" si="0"/>
        <v>620.96330533990078</v>
      </c>
      <c r="F11" s="1078">
        <f>B11*(G$2+1)</f>
        <v>524.4851750251047</v>
      </c>
      <c r="G11" s="1082">
        <f t="shared" si="1"/>
        <v>0.21444449206658689</v>
      </c>
    </row>
    <row r="12" spans="1:20" ht="15.75" thickBot="1" x14ac:dyDescent="0.3">
      <c r="A12" s="1070" t="s">
        <v>568</v>
      </c>
      <c r="B12" s="1087"/>
      <c r="C12" s="1079">
        <f>'[21]M2022 BLS SALARY CHART (53_PCT)'!$J$7</f>
        <v>0.18394825041561585</v>
      </c>
      <c r="D12" s="1080"/>
      <c r="E12" s="1081"/>
      <c r="F12" s="1078"/>
      <c r="G12" s="1082"/>
    </row>
    <row r="13" spans="1:20" ht="15.75" thickBot="1" x14ac:dyDescent="0.3">
      <c r="A13" s="1077" t="s">
        <v>569</v>
      </c>
      <c r="B13" s="1078">
        <v>511.31468699999994</v>
      </c>
      <c r="C13" s="1079">
        <f>'[21]M2022 BLS SALARY CHART (53_PCT)'!$J$7</f>
        <v>0.18394825041561585</v>
      </c>
      <c r="D13" s="1080">
        <f>'[21]M2022 BLS SALARY CHART (53_PCT)'!$C$42</f>
        <v>2.5758086673353865E-2</v>
      </c>
      <c r="E13" s="1081">
        <f t="shared" si="0"/>
        <v>620.96330533990078</v>
      </c>
      <c r="F13" s="1078">
        <f>B13*(G$2+1)</f>
        <v>524.4851750251047</v>
      </c>
      <c r="G13" s="1082">
        <f t="shared" si="1"/>
        <v>0.21444449206658689</v>
      </c>
    </row>
    <row r="14" spans="1:20" ht="15.75" thickBot="1" x14ac:dyDescent="0.3">
      <c r="A14" s="1077" t="s">
        <v>570</v>
      </c>
      <c r="B14" s="1078">
        <v>1960.4437579999999</v>
      </c>
      <c r="C14" s="1079">
        <f>'[21]M2022 BLS SALARY CHART (53_PCT)'!$J$7</f>
        <v>0.18394825041561585</v>
      </c>
      <c r="D14" s="1080">
        <f>'[21]M2022 BLS SALARY CHART (53_PCT)'!$C$42</f>
        <v>2.5758086673353865E-2</v>
      </c>
      <c r="E14" s="1081">
        <f t="shared" si="0"/>
        <v>2380.8501239094203</v>
      </c>
      <c r="F14" s="1078">
        <f>B14*(G$2+1)</f>
        <v>2010.9410382367994</v>
      </c>
      <c r="G14" s="1082">
        <f t="shared" si="1"/>
        <v>0.21444449206658669</v>
      </c>
    </row>
    <row r="15" spans="1:20" ht="15.75" thickBot="1" x14ac:dyDescent="0.3">
      <c r="A15" s="1077" t="s">
        <v>571</v>
      </c>
      <c r="B15" s="1078">
        <v>1960.4437579999999</v>
      </c>
      <c r="C15" s="1079">
        <f>'[21]M2022 BLS SALARY CHART (53_PCT)'!$J$7</f>
        <v>0.18394825041561585</v>
      </c>
      <c r="D15" s="1080">
        <f>'[21]M2022 BLS SALARY CHART (53_PCT)'!$C$42</f>
        <v>2.5758086673353865E-2</v>
      </c>
      <c r="E15" s="1081">
        <f t="shared" si="0"/>
        <v>2380.8501239094203</v>
      </c>
      <c r="F15" s="1078">
        <f>B15*(G$2+1)</f>
        <v>2010.9410382367994</v>
      </c>
      <c r="G15" s="1082">
        <f t="shared" si="1"/>
        <v>0.21444449206658669</v>
      </c>
    </row>
    <row r="16" spans="1:20" ht="15.75" thickBot="1" x14ac:dyDescent="0.3">
      <c r="A16" s="1088" t="s">
        <v>572</v>
      </c>
      <c r="B16" s="1062"/>
      <c r="C16" s="1079">
        <f>'[21]M2022 BLS SALARY CHART (53_PCT)'!$J$7</f>
        <v>0.18394825041561585</v>
      </c>
      <c r="D16" s="1080"/>
      <c r="E16" s="1081"/>
      <c r="F16" s="1078"/>
      <c r="G16" s="1082"/>
    </row>
    <row r="17" spans="1:7" ht="15.75" thickBot="1" x14ac:dyDescent="0.3">
      <c r="A17" s="1089" t="s">
        <v>573</v>
      </c>
      <c r="B17" s="1078">
        <v>4069.0221649999999</v>
      </c>
      <c r="C17" s="1079">
        <f>'[21]M2022 BLS SALARY CHART (53_PCT)'!$J$7</f>
        <v>0.18394825041561585</v>
      </c>
      <c r="D17" s="1080">
        <f>'[21]M2022 BLS SALARY CHART (53_PCT)'!$C$42</f>
        <v>2.5758086673353865E-2</v>
      </c>
      <c r="E17" s="1081">
        <f t="shared" si="0"/>
        <v>4941.6015563811079</v>
      </c>
      <c r="F17" s="1078">
        <f>B17*(G$2+1)</f>
        <v>4173.8323906018677</v>
      </c>
      <c r="G17" s="1082">
        <f t="shared" si="1"/>
        <v>0.21444449206658672</v>
      </c>
    </row>
    <row r="18" spans="1:7" ht="15.75" thickBot="1" x14ac:dyDescent="0.3">
      <c r="A18" s="1089" t="s">
        <v>574</v>
      </c>
      <c r="B18" s="1078">
        <v>6546.7555139999986</v>
      </c>
      <c r="C18" s="1079">
        <f>'[21]M2022 BLS SALARY CHART (53_PCT)'!$J$7</f>
        <v>0.18394825041561585</v>
      </c>
      <c r="D18" s="1080">
        <f>'[21]M2022 BLS SALARY CHART (53_PCT)'!$C$42</f>
        <v>2.5758086673353865E-2</v>
      </c>
      <c r="E18" s="1081">
        <f t="shared" si="0"/>
        <v>7950.6711748838552</v>
      </c>
      <c r="F18" s="1078">
        <f>B18*(G$2+1)</f>
        <v>6715.3874099588675</v>
      </c>
      <c r="G18" s="1082">
        <f t="shared" si="1"/>
        <v>0.21444449206658689</v>
      </c>
    </row>
    <row r="19" spans="1:7" ht="15.75" thickBot="1" x14ac:dyDescent="0.3">
      <c r="A19" s="1089" t="s">
        <v>575</v>
      </c>
      <c r="B19" s="1078">
        <v>9894.2057109999987</v>
      </c>
      <c r="C19" s="1079">
        <f>'[21]M2022 BLS SALARY CHART (53_PCT)'!$J$7</f>
        <v>0.18394825041561585</v>
      </c>
      <c r="D19" s="1080">
        <f>'[21]M2022 BLS SALARY CHART (53_PCT)'!$C$42</f>
        <v>2.5758086673353865E-2</v>
      </c>
      <c r="E19" s="1081">
        <f t="shared" si="0"/>
        <v>12015.963629097714</v>
      </c>
      <c r="F19" s="1078">
        <f>B19*(G$2+1)</f>
        <v>10149.061519267929</v>
      </c>
      <c r="G19" s="1082">
        <f t="shared" si="1"/>
        <v>0.21444449206658664</v>
      </c>
    </row>
    <row r="20" spans="1:7" ht="15.75" thickBot="1" x14ac:dyDescent="0.3">
      <c r="A20" s="1088" t="s">
        <v>576</v>
      </c>
      <c r="B20" s="1062"/>
      <c r="C20" s="1079">
        <f>'[21]M2022 BLS SALARY CHART (53_PCT)'!$J$7</f>
        <v>0.18394825041561585</v>
      </c>
      <c r="D20" s="1080"/>
      <c r="E20" s="1081"/>
      <c r="F20" s="1078"/>
      <c r="G20" s="1082"/>
    </row>
    <row r="21" spans="1:7" ht="15.75" thickBot="1" x14ac:dyDescent="0.3">
      <c r="A21" s="1089" t="s">
        <v>573</v>
      </c>
      <c r="B21" s="1078">
        <v>3267.4028529999996</v>
      </c>
      <c r="C21" s="1079">
        <f>'[21]M2022 BLS SALARY CHART (53_PCT)'!$J$7</f>
        <v>0.18394825041561585</v>
      </c>
      <c r="D21" s="1080">
        <f>'[21]M2022 BLS SALARY CHART (53_PCT)'!$C$42</f>
        <v>2.5758086673353865E-2</v>
      </c>
      <c r="E21" s="1081">
        <f t="shared" si="0"/>
        <v>3968.0793981885013</v>
      </c>
      <c r="F21" s="1078">
        <f>B21*(G$2+1)</f>
        <v>3351.5648988843368</v>
      </c>
      <c r="G21" s="1082">
        <f t="shared" si="1"/>
        <v>0.21444449206658686</v>
      </c>
    </row>
    <row r="22" spans="1:7" ht="15.75" thickBot="1" x14ac:dyDescent="0.3">
      <c r="A22" s="1089" t="s">
        <v>574</v>
      </c>
      <c r="B22" s="1078">
        <v>5239.7964189999993</v>
      </c>
      <c r="C22" s="1079">
        <f>'[21]M2022 BLS SALARY CHART (53_PCT)'!$J$7</f>
        <v>0.18394825041561585</v>
      </c>
      <c r="D22" s="1080">
        <f>'[21]M2022 BLS SALARY CHART (53_PCT)'!$C$42</f>
        <v>2.5758086673353865E-2</v>
      </c>
      <c r="E22" s="1081">
        <f t="shared" si="0"/>
        <v>6363.4419006047738</v>
      </c>
      <c r="F22" s="1078">
        <f>B22*(G$2+1)</f>
        <v>5374.7635493113303</v>
      </c>
      <c r="G22" s="1082">
        <f t="shared" si="1"/>
        <v>0.21444449206658664</v>
      </c>
    </row>
    <row r="23" spans="1:7" ht="15.75" thickBot="1" x14ac:dyDescent="0.3">
      <c r="A23" s="1089" t="s">
        <v>575</v>
      </c>
      <c r="B23" s="1078">
        <v>7859.6895129999984</v>
      </c>
      <c r="C23" s="1079">
        <f>'[21]M2022 BLS SALARY CHART (53_PCT)'!$J$7</f>
        <v>0.18394825041561585</v>
      </c>
      <c r="D23" s="1080">
        <f>'[21]M2022 BLS SALARY CHART (53_PCT)'!$C$42</f>
        <v>2.5758086673353865E-2</v>
      </c>
      <c r="E23" s="1081">
        <f t="shared" si="0"/>
        <v>9545.1566384163634</v>
      </c>
      <c r="F23" s="1078">
        <f>B23*(G$2+1)</f>
        <v>8062.140076701502</v>
      </c>
      <c r="G23" s="1082">
        <f t="shared" si="1"/>
        <v>0.21444449206658697</v>
      </c>
    </row>
    <row r="24" spans="1:7" ht="15.75" thickBot="1" x14ac:dyDescent="0.3">
      <c r="A24" s="1088" t="s">
        <v>577</v>
      </c>
      <c r="B24" s="1062"/>
      <c r="C24" s="1079">
        <f>'[21]M2022 BLS SALARY CHART (53_PCT)'!$J$7</f>
        <v>0.18394825041561585</v>
      </c>
      <c r="D24" s="1080"/>
      <c r="E24" s="1081"/>
      <c r="F24" s="1078"/>
      <c r="G24" s="1082"/>
    </row>
    <row r="25" spans="1:7" ht="15.75" thickBot="1" x14ac:dyDescent="0.3">
      <c r="A25" s="1089" t="s">
        <v>573</v>
      </c>
      <c r="B25" s="1078">
        <v>801.61931199999992</v>
      </c>
      <c r="C25" s="1079">
        <f>'[21]M2022 BLS SALARY CHART (53_PCT)'!$J$7</f>
        <v>0.18394825041561585</v>
      </c>
      <c r="D25" s="1080">
        <f>'[21]M2022 BLS SALARY CHART (53_PCT)'!$C$42</f>
        <v>2.5758086673353865E-2</v>
      </c>
      <c r="E25" s="1081">
        <f t="shared" si="0"/>
        <v>973.52215819260675</v>
      </c>
      <c r="F25" s="1078">
        <f>B25*(G$2+1)</f>
        <v>822.26749171753011</v>
      </c>
      <c r="G25" s="1082">
        <f t="shared" si="1"/>
        <v>0.21444449206658689</v>
      </c>
    </row>
    <row r="26" spans="1:7" ht="15.75" thickBot="1" x14ac:dyDescent="0.3">
      <c r="A26" s="1089" t="s">
        <v>574</v>
      </c>
      <c r="B26" s="1078">
        <v>1306.9590949999999</v>
      </c>
      <c r="C26" s="1079">
        <f>'[21]M2022 BLS SALARY CHART (53_PCT)'!$J$7</f>
        <v>0.18394825041561585</v>
      </c>
      <c r="D26" s="1080">
        <f>'[21]M2022 BLS SALARY CHART (53_PCT)'!$C$42</f>
        <v>2.5758086673353865E-2</v>
      </c>
      <c r="E26" s="1081">
        <f t="shared" si="0"/>
        <v>1587.2292742790808</v>
      </c>
      <c r="F26" s="1078">
        <f>B26*(G$2+1)</f>
        <v>1340.6238606475379</v>
      </c>
      <c r="G26" s="1082">
        <f t="shared" si="1"/>
        <v>0.21444449206658669</v>
      </c>
    </row>
    <row r="27" spans="1:7" ht="15.75" thickBot="1" x14ac:dyDescent="0.3">
      <c r="A27" s="1089" t="s">
        <v>575</v>
      </c>
      <c r="B27" s="1078">
        <v>1960.4437579999999</v>
      </c>
      <c r="C27" s="1079">
        <f>'[21]M2022 BLS SALARY CHART (53_PCT)'!$J$7</f>
        <v>0.18394825041561585</v>
      </c>
      <c r="D27" s="1080">
        <f>'[21]M2022 BLS SALARY CHART (53_PCT)'!$C$42</f>
        <v>2.5758086673353865E-2</v>
      </c>
      <c r="E27" s="1081">
        <f t="shared" si="0"/>
        <v>2380.8501239094203</v>
      </c>
      <c r="F27" s="1078">
        <f>B27*(G$2+1)</f>
        <v>2010.9410382367994</v>
      </c>
      <c r="G27" s="1082">
        <f t="shared" si="1"/>
        <v>0.21444449206658669</v>
      </c>
    </row>
    <row r="28" spans="1:7" ht="15.75" thickBot="1" x14ac:dyDescent="0.3">
      <c r="A28" s="1088" t="s">
        <v>578</v>
      </c>
      <c r="B28" s="1062"/>
      <c r="C28" s="1079">
        <f>'[21]M2022 BLS SALARY CHART (53_PCT)'!$J$7</f>
        <v>0.18394825041561585</v>
      </c>
      <c r="D28" s="1080"/>
      <c r="E28" s="1081"/>
      <c r="F28" s="1078"/>
      <c r="G28" s="1082"/>
    </row>
    <row r="29" spans="1:7" ht="15.75" thickBot="1" x14ac:dyDescent="0.3">
      <c r="A29" s="1089" t="s">
        <v>573</v>
      </c>
      <c r="B29" s="1078">
        <v>4069.0221649999999</v>
      </c>
      <c r="C29" s="1079">
        <f>'[21]M2022 BLS SALARY CHART (53_PCT)'!$J$7</f>
        <v>0.18394825041561585</v>
      </c>
      <c r="D29" s="1080">
        <f>'[21]M2022 BLS SALARY CHART (53_PCT)'!$C$42</f>
        <v>2.5758086673353865E-2</v>
      </c>
      <c r="E29" s="1081">
        <f t="shared" si="0"/>
        <v>4941.6015563811079</v>
      </c>
      <c r="F29" s="1078">
        <f>B29*(G$2+1)</f>
        <v>4173.8323906018677</v>
      </c>
      <c r="G29" s="1082">
        <f t="shared" si="1"/>
        <v>0.21444449206658672</v>
      </c>
    </row>
    <row r="30" spans="1:7" ht="15.75" thickBot="1" x14ac:dyDescent="0.3">
      <c r="A30" s="1089" t="s">
        <v>574</v>
      </c>
      <c r="B30" s="1078">
        <v>6546.7555139999986</v>
      </c>
      <c r="C30" s="1079">
        <f>'[21]M2022 BLS SALARY CHART (53_PCT)'!$J$7</f>
        <v>0.18394825041561585</v>
      </c>
      <c r="D30" s="1080">
        <f>'[21]M2022 BLS SALARY CHART (53_PCT)'!$C$42</f>
        <v>2.5758086673353865E-2</v>
      </c>
      <c r="E30" s="1081">
        <f t="shared" si="0"/>
        <v>7950.6711748838552</v>
      </c>
      <c r="F30" s="1078">
        <f>B30*(G$2+1)</f>
        <v>6715.3874099588675</v>
      </c>
      <c r="G30" s="1082">
        <f t="shared" si="1"/>
        <v>0.21444449206658689</v>
      </c>
    </row>
    <row r="31" spans="1:7" ht="15.75" thickBot="1" x14ac:dyDescent="0.3">
      <c r="A31" s="1089" t="s">
        <v>575</v>
      </c>
      <c r="B31" s="1078">
        <v>9894.2057109999987</v>
      </c>
      <c r="C31" s="1079">
        <f>'[21]M2022 BLS SALARY CHART (53_PCT)'!$J$7</f>
        <v>0.18394825041561585</v>
      </c>
      <c r="D31" s="1080">
        <f>'[21]M2022 BLS SALARY CHART (53_PCT)'!$C$42</f>
        <v>2.5758086673353865E-2</v>
      </c>
      <c r="E31" s="1081">
        <f t="shared" si="0"/>
        <v>12015.963629097714</v>
      </c>
      <c r="F31" s="1078">
        <f>B31*(G$2+1)</f>
        <v>10149.061519267929</v>
      </c>
      <c r="G31" s="1082">
        <f t="shared" si="1"/>
        <v>0.21444449206658664</v>
      </c>
    </row>
    <row r="32" spans="1:7" ht="15.75" thickBot="1" x14ac:dyDescent="0.3">
      <c r="A32" s="1085" t="s">
        <v>579</v>
      </c>
      <c r="B32" s="1078">
        <v>616.44844299999988</v>
      </c>
      <c r="C32" s="1079">
        <f>'[21]M2022 BLS SALARY CHART (53_PCT)'!$J$7</f>
        <v>0.18394825041561585</v>
      </c>
      <c r="D32" s="1080">
        <f>'[21]M2022 BLS SALARY CHART (53_PCT)'!$C$42</f>
        <v>2.5758086673353865E-2</v>
      </c>
      <c r="E32" s="1081">
        <f t="shared" si="0"/>
        <v>748.64241624437318</v>
      </c>
      <c r="F32" s="1078">
        <f>B32*(G$2+1)</f>
        <v>632.32697542444782</v>
      </c>
      <c r="G32" s="1082">
        <f t="shared" si="1"/>
        <v>0.21444449206658686</v>
      </c>
    </row>
    <row r="33" spans="1:7" ht="15.75" thickBot="1" x14ac:dyDescent="0.3">
      <c r="A33" s="1088" t="s">
        <v>580</v>
      </c>
      <c r="B33" s="1062"/>
      <c r="C33" s="1079">
        <f>'[21]M2022 BLS SALARY CHART (53_PCT)'!$J$7</f>
        <v>0.18394825041561585</v>
      </c>
      <c r="D33" s="1080"/>
      <c r="E33" s="1081"/>
      <c r="F33" s="1078"/>
      <c r="G33" s="1082"/>
    </row>
    <row r="34" spans="1:7" ht="15.75" thickBot="1" x14ac:dyDescent="0.3">
      <c r="A34" s="1089" t="s">
        <v>581</v>
      </c>
      <c r="B34" s="1078">
        <v>1158.8244460000001</v>
      </c>
      <c r="C34" s="1079">
        <f>'[21]M2022 BLS SALARY CHART (53_PCT)'!$J$7</f>
        <v>0.18394825041561585</v>
      </c>
      <c r="D34" s="1080">
        <f>'[21]M2022 BLS SALARY CHART (53_PCT)'!$C$42</f>
        <v>2.5758086673353865E-2</v>
      </c>
      <c r="E34" s="1081">
        <f t="shared" si="0"/>
        <v>1407.3279657168139</v>
      </c>
      <c r="F34" s="1078">
        <f t="shared" ref="F34:F43" si="2">B34*(G$2+1)</f>
        <v>1188.6735465192692</v>
      </c>
      <c r="G34" s="1082">
        <f t="shared" si="1"/>
        <v>0.21444449206658675</v>
      </c>
    </row>
    <row r="35" spans="1:7" ht="15.75" thickBot="1" x14ac:dyDescent="0.3">
      <c r="A35" s="1089" t="s">
        <v>582</v>
      </c>
      <c r="B35" s="1078">
        <v>2465.7835409999998</v>
      </c>
      <c r="C35" s="1079">
        <f>'[21]M2022 BLS SALARY CHART (53_PCT)'!$J$7</f>
        <v>0.18394825041561585</v>
      </c>
      <c r="D35" s="1080">
        <f>'[21]M2022 BLS SALARY CHART (53_PCT)'!$C$42</f>
        <v>2.5758086673353865E-2</v>
      </c>
      <c r="E35" s="1081">
        <f t="shared" si="0"/>
        <v>2994.5572399958946</v>
      </c>
      <c r="F35" s="1078">
        <f t="shared" si="2"/>
        <v>2529.2974071668068</v>
      </c>
      <c r="G35" s="1082">
        <f t="shared" si="1"/>
        <v>0.21444449206658683</v>
      </c>
    </row>
    <row r="36" spans="1:7" ht="15.75" thickBot="1" x14ac:dyDescent="0.3">
      <c r="A36" s="1089" t="s">
        <v>583</v>
      </c>
      <c r="B36" s="1078">
        <v>4561.2253439999995</v>
      </c>
      <c r="C36" s="1079">
        <f>'[21]M2022 BLS SALARY CHART (53_PCT)'!$J$7</f>
        <v>0.18394825041561585</v>
      </c>
      <c r="D36" s="1080">
        <f>'[21]M2022 BLS SALARY CHART (53_PCT)'!$C$42</f>
        <v>2.5758086673353865E-2</v>
      </c>
      <c r="E36" s="1081">
        <f t="shared" si="0"/>
        <v>5539.3549960953223</v>
      </c>
      <c r="F36" s="1078">
        <f t="shared" si="2"/>
        <v>4678.7137817474495</v>
      </c>
      <c r="G36" s="1082">
        <f t="shared" si="1"/>
        <v>0.21444449206658686</v>
      </c>
    </row>
    <row r="37" spans="1:7" ht="15.75" thickBot="1" x14ac:dyDescent="0.3">
      <c r="A37" s="1089" t="s">
        <v>584</v>
      </c>
      <c r="B37" s="1078">
        <v>1455.1039749999998</v>
      </c>
      <c r="C37" s="1079">
        <f>'[21]M2022 BLS SALARY CHART (53_PCT)'!$J$7</f>
        <v>0.18394825041561585</v>
      </c>
      <c r="D37" s="1080">
        <f>'[21]M2022 BLS SALARY CHART (53_PCT)'!$C$42</f>
        <v>2.5758086673353865E-2</v>
      </c>
      <c r="E37" s="1081">
        <f t="shared" si="0"/>
        <v>1767.1430078229459</v>
      </c>
      <c r="F37" s="1078">
        <f t="shared" si="2"/>
        <v>1492.5846693067913</v>
      </c>
      <c r="G37" s="1082">
        <f t="shared" si="1"/>
        <v>0.21444449206658667</v>
      </c>
    </row>
    <row r="38" spans="1:7" ht="15.75" thickBot="1" x14ac:dyDescent="0.3">
      <c r="A38" s="1085" t="s">
        <v>585</v>
      </c>
      <c r="B38" s="1078">
        <v>511.31468699999994</v>
      </c>
      <c r="C38" s="1079">
        <f>'[21]M2022 BLS SALARY CHART (53_PCT)'!$J$7</f>
        <v>0.18394825041561585</v>
      </c>
      <c r="D38" s="1080">
        <f>'[21]M2022 BLS SALARY CHART (53_PCT)'!$C$42</f>
        <v>2.5758086673353865E-2</v>
      </c>
      <c r="E38" s="1081">
        <f t="shared" si="0"/>
        <v>620.96330533990078</v>
      </c>
      <c r="F38" s="1078">
        <f t="shared" si="2"/>
        <v>524.4851750251047</v>
      </c>
      <c r="G38" s="1082">
        <f t="shared" si="1"/>
        <v>0.21444449206658689</v>
      </c>
    </row>
    <row r="39" spans="1:7" ht="15.75" thickBot="1" x14ac:dyDescent="0.3">
      <c r="A39" s="1089" t="s">
        <v>586</v>
      </c>
      <c r="B39" s="1078">
        <v>1306.9590949999999</v>
      </c>
      <c r="C39" s="1079">
        <f>'[21]M2022 BLS SALARY CHART (53_PCT)'!$J$7</f>
        <v>0.18394825041561585</v>
      </c>
      <c r="D39" s="1080">
        <f>'[21]M2022 BLS SALARY CHART (53_PCT)'!$C$42</f>
        <v>2.5758086673353865E-2</v>
      </c>
      <c r="E39" s="1081">
        <f t="shared" si="0"/>
        <v>1587.2292742790808</v>
      </c>
      <c r="F39" s="1078">
        <f t="shared" si="2"/>
        <v>1340.6238606475379</v>
      </c>
      <c r="G39" s="1082">
        <f t="shared" si="1"/>
        <v>0.21444449206658669</v>
      </c>
    </row>
    <row r="40" spans="1:7" ht="15.75" thickBot="1" x14ac:dyDescent="0.3">
      <c r="A40" s="1089" t="s">
        <v>587</v>
      </c>
      <c r="B40" s="1078">
        <v>358.38169899999997</v>
      </c>
      <c r="C40" s="1079">
        <f>'[21]M2022 BLS SALARY CHART (53_PCT)'!$J$7</f>
        <v>0.18394825041561585</v>
      </c>
      <c r="D40" s="1080">
        <f>'[21]M2022 BLS SALARY CHART (53_PCT)'!$C$42</f>
        <v>2.5758086673353865E-2</v>
      </c>
      <c r="E40" s="1081">
        <f t="shared" si="0"/>
        <v>435.23468040801532</v>
      </c>
      <c r="F40" s="1078">
        <f t="shared" si="2"/>
        <v>367.61292586498575</v>
      </c>
      <c r="G40" s="1082">
        <f t="shared" si="1"/>
        <v>0.21444449206658669</v>
      </c>
    </row>
    <row r="41" spans="1:7" ht="15.75" thickBot="1" x14ac:dyDescent="0.3">
      <c r="A41" s="1089" t="s">
        <v>588</v>
      </c>
      <c r="B41" s="1078">
        <v>444.41417799999994</v>
      </c>
      <c r="C41" s="1079">
        <f>'[21]M2022 BLS SALARY CHART (53_PCT)'!$J$7</f>
        <v>0.18394825041561585</v>
      </c>
      <c r="D41" s="1080">
        <f>'[21]M2022 BLS SALARY CHART (53_PCT)'!$C$42</f>
        <v>2.5758086673353865E-2</v>
      </c>
      <c r="E41" s="1081">
        <f t="shared" si="0"/>
        <v>539.71635066839963</v>
      </c>
      <c r="F41" s="1078">
        <f t="shared" si="2"/>
        <v>455.86143691579122</v>
      </c>
      <c r="G41" s="1082">
        <f t="shared" si="1"/>
        <v>0.21444449206658683</v>
      </c>
    </row>
    <row r="42" spans="1:7" ht="15.75" thickBot="1" x14ac:dyDescent="0.3">
      <c r="A42" s="1089" t="s">
        <v>589</v>
      </c>
      <c r="B42" s="1078">
        <v>246.08624299999997</v>
      </c>
      <c r="C42" s="1079">
        <f>'[21]M2022 BLS SALARY CHART (53_PCT)'!$J$7</f>
        <v>0.18394825041561585</v>
      </c>
      <c r="D42" s="1080">
        <f>'[21]M2022 BLS SALARY CHART (53_PCT)'!$C$42</f>
        <v>2.5758086673353865E-2</v>
      </c>
      <c r="E42" s="1081">
        <f t="shared" si="0"/>
        <v>298.85808238470958</v>
      </c>
      <c r="F42" s="1078">
        <f t="shared" si="2"/>
        <v>252.42495377631397</v>
      </c>
      <c r="G42" s="1082">
        <f t="shared" si="1"/>
        <v>0.21444449206658664</v>
      </c>
    </row>
    <row r="43" spans="1:7" ht="15.75" thickBot="1" x14ac:dyDescent="0.3">
      <c r="A43" s="1089" t="s">
        <v>590</v>
      </c>
      <c r="B43" s="1078">
        <v>1158.8244460000001</v>
      </c>
      <c r="C43" s="1079">
        <f>'[21]M2022 BLS SALARY CHART (53_PCT)'!$J$7</f>
        <v>0.18394825041561585</v>
      </c>
      <c r="D43" s="1080">
        <f>'[21]M2022 BLS SALARY CHART (53_PCT)'!$C$42</f>
        <v>2.5758086673353865E-2</v>
      </c>
      <c r="E43" s="1081">
        <f t="shared" si="0"/>
        <v>1407.3279657168139</v>
      </c>
      <c r="F43" s="1078">
        <f t="shared" si="2"/>
        <v>1188.6735465192692</v>
      </c>
      <c r="G43" s="1082">
        <f t="shared" si="1"/>
        <v>0.21444449206658675</v>
      </c>
    </row>
    <row r="44" spans="1:7" ht="15.75" thickBot="1" x14ac:dyDescent="0.3">
      <c r="A44" s="1090" t="s">
        <v>591</v>
      </c>
      <c r="B44" s="1071"/>
      <c r="C44" s="1079">
        <f>'[21]M2022 BLS SALARY CHART (53_PCT)'!$J$7</f>
        <v>0.18394825041561585</v>
      </c>
      <c r="D44" s="1080"/>
      <c r="E44" s="1081"/>
      <c r="F44" s="1078"/>
      <c r="G44" s="1082"/>
    </row>
    <row r="45" spans="1:7" ht="15.75" thickBot="1" x14ac:dyDescent="0.3">
      <c r="A45" s="1089" t="s">
        <v>592</v>
      </c>
      <c r="B45" s="1078">
        <v>4931.5670819999996</v>
      </c>
      <c r="C45" s="1079">
        <f>'[21]M2022 BLS SALARY CHART (53_PCT)'!$J$7</f>
        <v>0.18394825041561585</v>
      </c>
      <c r="D45" s="1080">
        <f>'[21]M2022 BLS SALARY CHART (53_PCT)'!$C$42</f>
        <v>2.5758086673353865E-2</v>
      </c>
      <c r="E45" s="1081">
        <f t="shared" si="0"/>
        <v>5989.1144799917893</v>
      </c>
      <c r="F45" s="1078">
        <f>B45*(G$2+1)</f>
        <v>5058.5948143336136</v>
      </c>
      <c r="G45" s="1082">
        <f t="shared" si="1"/>
        <v>0.21444449206658683</v>
      </c>
    </row>
    <row r="46" spans="1:7" ht="15.75" thickBot="1" x14ac:dyDescent="0.3">
      <c r="A46" s="1089" t="s">
        <v>593</v>
      </c>
      <c r="B46" s="1078">
        <v>1744.2115729999998</v>
      </c>
      <c r="C46" s="1079">
        <f>'[21]M2022 BLS SALARY CHART (53_PCT)'!$J$7</f>
        <v>0.18394825041561585</v>
      </c>
      <c r="D46" s="1080">
        <f>'[21]M2022 BLS SALARY CHART (53_PCT)'!$C$42</f>
        <v>2.5758086673353865E-2</v>
      </c>
      <c r="E46" s="1081">
        <f t="shared" si="0"/>
        <v>2118.2481378286475</v>
      </c>
      <c r="F46" s="1078">
        <f>B46*(G$2+1)</f>
        <v>1789.1391258740005</v>
      </c>
      <c r="G46" s="1082">
        <f t="shared" si="1"/>
        <v>0.214444492066587</v>
      </c>
    </row>
    <row r="47" spans="1:7" ht="15.75" thickBot="1" x14ac:dyDescent="0.3">
      <c r="A47" s="1090" t="s">
        <v>594</v>
      </c>
      <c r="B47" s="1071"/>
      <c r="C47" s="1079">
        <f>'[21]M2022 BLS SALARY CHART (53_PCT)'!$J$7</f>
        <v>0.18394825041561585</v>
      </c>
      <c r="D47" s="1080"/>
      <c r="E47" s="1081"/>
      <c r="F47" s="1078"/>
      <c r="G47" s="1082"/>
    </row>
    <row r="48" spans="1:7" ht="15.75" thickBot="1" x14ac:dyDescent="0.3">
      <c r="A48" s="1089" t="s">
        <v>595</v>
      </c>
      <c r="B48" s="1078">
        <v>1744.2115729999998</v>
      </c>
      <c r="C48" s="1079">
        <f>'[21]M2022 BLS SALARY CHART (53_PCT)'!$J$7</f>
        <v>0.18394825041561585</v>
      </c>
      <c r="D48" s="1080">
        <f>'[21]M2022 BLS SALARY CHART (53_PCT)'!$C$42</f>
        <v>2.5758086673353865E-2</v>
      </c>
      <c r="E48" s="1081">
        <f t="shared" si="0"/>
        <v>2118.2481378286475</v>
      </c>
      <c r="F48" s="1078">
        <f>B48*(G$2+1)</f>
        <v>1789.1391258740005</v>
      </c>
      <c r="G48" s="1082">
        <f t="shared" si="1"/>
        <v>0.214444492066587</v>
      </c>
    </row>
    <row r="49" spans="1:7" ht="15.75" thickBot="1" x14ac:dyDescent="0.3">
      <c r="A49" s="1089" t="s">
        <v>596</v>
      </c>
      <c r="B49" s="1078">
        <v>1744.2115729999998</v>
      </c>
      <c r="C49" s="1079">
        <f>'[21]M2022 BLS SALARY CHART (53_PCT)'!$J$7</f>
        <v>0.18394825041561585</v>
      </c>
      <c r="D49" s="1080">
        <f>'[21]M2022 BLS SALARY CHART (53_PCT)'!$C$42</f>
        <v>2.5758086673353865E-2</v>
      </c>
      <c r="E49" s="1081">
        <f t="shared" si="0"/>
        <v>2118.2481378286475</v>
      </c>
      <c r="F49" s="1078">
        <f>B49*(G$2+1)</f>
        <v>1789.1391258740005</v>
      </c>
      <c r="G49" s="1082">
        <f t="shared" si="1"/>
        <v>0.214444492066587</v>
      </c>
    </row>
    <row r="50" spans="1:7" ht="15.75" thickBot="1" x14ac:dyDescent="0.3">
      <c r="A50" s="1089" t="s">
        <v>597</v>
      </c>
      <c r="B50" s="1091">
        <v>48.781407999999992</v>
      </c>
      <c r="C50" s="1079">
        <f>'[21]M2022 BLS SALARY CHART (53_PCT)'!$J$7</f>
        <v>0.18394825041561585</v>
      </c>
      <c r="D50" s="1080">
        <f>'[21]M2022 BLS SALARY CHART (53_PCT)'!$C$42</f>
        <v>2.5758086673353865E-2</v>
      </c>
      <c r="E50" s="1081">
        <f t="shared" si="0"/>
        <v>59.242312260852927</v>
      </c>
      <c r="F50" s="1078">
        <f>B50*(G$2+1)</f>
        <v>50.037923735312226</v>
      </c>
      <c r="G50" s="1082">
        <f t="shared" si="1"/>
        <v>0.21444449206658686</v>
      </c>
    </row>
    <row r="51" spans="1:7" ht="15.75" thickBot="1" x14ac:dyDescent="0.3">
      <c r="A51" s="1090" t="s">
        <v>598</v>
      </c>
      <c r="B51" s="1071"/>
      <c r="C51" s="1079">
        <f>'[21]M2022 BLS SALARY CHART (53_PCT)'!$J$7</f>
        <v>0.18394825041561585</v>
      </c>
      <c r="D51" s="1080"/>
      <c r="E51" s="1081"/>
      <c r="F51" s="1078"/>
      <c r="G51" s="1082"/>
    </row>
    <row r="52" spans="1:7" ht="15.75" thickBot="1" x14ac:dyDescent="0.3">
      <c r="A52" s="1089" t="s">
        <v>599</v>
      </c>
      <c r="B52" s="1078">
        <v>2314.8558290000001</v>
      </c>
      <c r="C52" s="1079">
        <f>'[21]M2022 BLS SALARY CHART (53_PCT)'!$J$7</f>
        <v>0.18394825041561585</v>
      </c>
      <c r="D52" s="1080">
        <f>'[21]M2022 BLS SALARY CHART (53_PCT)'!$C$42</f>
        <v>2.5758086673353865E-2</v>
      </c>
      <c r="E52" s="1081">
        <f t="shared" si="0"/>
        <v>2811.263911457283</v>
      </c>
      <c r="F52" s="1078">
        <f>B52*(G$2+1)</f>
        <v>2374.4820860797004</v>
      </c>
      <c r="G52" s="1082">
        <f t="shared" si="1"/>
        <v>0.21444449206658689</v>
      </c>
    </row>
    <row r="53" spans="1:7" ht="15.75" thickBot="1" x14ac:dyDescent="0.3">
      <c r="A53" s="1089" t="s">
        <v>600</v>
      </c>
      <c r="B53" s="1078">
        <v>511.31468699999994</v>
      </c>
      <c r="C53" s="1079">
        <f>'[21]M2022 BLS SALARY CHART (53_PCT)'!$J$7</f>
        <v>0.18394825041561585</v>
      </c>
      <c r="D53" s="1080">
        <f>'[21]M2022 BLS SALARY CHART (53_PCT)'!$C$42</f>
        <v>2.5758086673353865E-2</v>
      </c>
      <c r="E53" s="1081">
        <f t="shared" si="0"/>
        <v>620.96330533990078</v>
      </c>
      <c r="F53" s="1078">
        <f>B53*(G$2+1)</f>
        <v>524.4851750251047</v>
      </c>
      <c r="G53" s="1082">
        <f t="shared" si="1"/>
        <v>0.21444449206658689</v>
      </c>
    </row>
    <row r="54" spans="1:7" ht="15.75" thickBot="1" x14ac:dyDescent="0.3">
      <c r="A54" s="1089" t="s">
        <v>601</v>
      </c>
      <c r="B54" s="1078">
        <v>4069.0221649999999</v>
      </c>
      <c r="C54" s="1079">
        <f>'[21]M2022 BLS SALARY CHART (53_PCT)'!$J$7</f>
        <v>0.18394825041561585</v>
      </c>
      <c r="D54" s="1080">
        <f>'[21]M2022 BLS SALARY CHART (53_PCT)'!$C$42</f>
        <v>2.5758086673353865E-2</v>
      </c>
      <c r="E54" s="1081">
        <f t="shared" si="0"/>
        <v>4941.6015563811079</v>
      </c>
      <c r="F54" s="1078">
        <f>B54*(G$2+1)</f>
        <v>4173.8323906018677</v>
      </c>
      <c r="G54" s="1082">
        <f t="shared" si="1"/>
        <v>0.21444449206658672</v>
      </c>
    </row>
    <row r="55" spans="1:7" ht="15.75" thickBot="1" x14ac:dyDescent="0.3">
      <c r="A55" s="1090" t="s">
        <v>602</v>
      </c>
      <c r="B55" s="1071"/>
      <c r="C55" s="1079">
        <f>'[21]M2022 BLS SALARY CHART (53_PCT)'!$J$7</f>
        <v>0.18394825041561585</v>
      </c>
      <c r="D55" s="1080"/>
      <c r="E55" s="1081"/>
      <c r="F55" s="1078"/>
      <c r="G55" s="1082"/>
    </row>
    <row r="56" spans="1:7" ht="15.75" thickBot="1" x14ac:dyDescent="0.3">
      <c r="A56" s="1085" t="s">
        <v>603</v>
      </c>
      <c r="B56" s="1078">
        <v>1671.3259289999999</v>
      </c>
      <c r="C56" s="1079">
        <f>'[21]M2022 BLS SALARY CHART (53_PCT)'!$J$7</f>
        <v>0.18394825041561585</v>
      </c>
      <c r="D56" s="1080">
        <f>'[21]M2022 BLS SALARY CHART (53_PCT)'!$C$42</f>
        <v>2.5758086673353865E-2</v>
      </c>
      <c r="E56" s="1081">
        <f t="shared" si="0"/>
        <v>2029.7325689221211</v>
      </c>
      <c r="F56" s="1078">
        <f>B56*(G$2+1)</f>
        <v>1714.3760871386053</v>
      </c>
      <c r="G56" s="1082">
        <f t="shared" si="1"/>
        <v>0.21444449206658678</v>
      </c>
    </row>
    <row r="57" spans="1:7" ht="15.75" thickBot="1" x14ac:dyDescent="0.3">
      <c r="A57" s="1085" t="s">
        <v>604</v>
      </c>
      <c r="B57" s="1078">
        <v>28.196635999999994</v>
      </c>
      <c r="C57" s="1079">
        <f>'[21]M2022 BLS SALARY CHART (53_PCT)'!$J$7</f>
        <v>0.18394825041561585</v>
      </c>
      <c r="D57" s="1080">
        <f>'[21]M2022 BLS SALARY CHART (53_PCT)'!$C$42</f>
        <v>2.5758086673353865E-2</v>
      </c>
      <c r="E57" s="1081">
        <f t="shared" si="0"/>
        <v>34.243249285006428</v>
      </c>
      <c r="F57" s="1078">
        <f>B57*(G$2+1)</f>
        <v>28.922927393985002</v>
      </c>
      <c r="G57" s="1082">
        <f t="shared" si="1"/>
        <v>0.21444449206658675</v>
      </c>
    </row>
    <row r="58" spans="1:7" ht="15.75" thickBot="1" x14ac:dyDescent="0.3">
      <c r="A58" s="1070" t="s">
        <v>605</v>
      </c>
      <c r="B58" s="1087"/>
      <c r="C58" s="1087"/>
      <c r="D58" s="1087"/>
      <c r="E58" s="1092"/>
      <c r="F58" s="1087"/>
      <c r="G58" s="1093"/>
    </row>
    <row r="59" spans="1:7" ht="15.75" thickBot="1" x14ac:dyDescent="0.3">
      <c r="A59" s="1085" t="s">
        <v>606</v>
      </c>
      <c r="B59" s="1094" t="s">
        <v>607</v>
      </c>
      <c r="C59" s="1094"/>
      <c r="D59" s="1094"/>
      <c r="E59" s="1094" t="s">
        <v>607</v>
      </c>
      <c r="F59" s="1094" t="s">
        <v>607</v>
      </c>
      <c r="G59" s="109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903F-4FDF-4E93-9BF9-B16E459F72D8}">
  <dimension ref="A1:AE50"/>
  <sheetViews>
    <sheetView topLeftCell="A3" workbookViewId="0">
      <selection activeCell="E24" sqref="E24"/>
    </sheetView>
  </sheetViews>
  <sheetFormatPr defaultColWidth="8.85546875" defaultRowHeight="15" x14ac:dyDescent="0.25"/>
  <cols>
    <col min="1" max="1" width="11" customWidth="1"/>
    <col min="2" max="2" width="21.42578125" customWidth="1"/>
    <col min="3" max="3" width="9.85546875" bestFit="1" customWidth="1"/>
    <col min="4" max="4" width="12.5703125" hidden="1" customWidth="1"/>
    <col min="5" max="5" width="23.140625" customWidth="1"/>
    <col min="7" max="7" width="27.85546875" customWidth="1"/>
    <col min="8" max="8" width="8.85546875" bestFit="1" customWidth="1"/>
    <col min="9" max="9" width="7.140625" bestFit="1" customWidth="1"/>
    <col min="10" max="10" width="9.85546875" bestFit="1" customWidth="1"/>
    <col min="11" max="11" width="3.5703125" customWidth="1"/>
    <col min="12" max="12" width="27.85546875" customWidth="1"/>
    <col min="13" max="15" width="11.5703125" customWidth="1"/>
    <col min="16" max="16" width="3.5703125" customWidth="1"/>
    <col min="17" max="17" width="28.140625" customWidth="1"/>
    <col min="18" max="18" width="8.85546875" bestFit="1" customWidth="1"/>
    <col min="19" max="19" width="7.140625" bestFit="1" customWidth="1"/>
    <col min="20" max="20" width="13.5703125" customWidth="1"/>
    <col min="21" max="21" width="4.5703125" customWidth="1"/>
    <col min="22" max="22" width="32.85546875" customWidth="1"/>
    <col min="23" max="23" width="8" bestFit="1" customWidth="1"/>
    <col min="24" max="24" width="7.140625" bestFit="1" customWidth="1"/>
    <col min="25" max="25" width="11.5703125" customWidth="1"/>
    <col min="26" max="26" width="3.5703125" customWidth="1"/>
    <col min="27" max="27" width="23.140625" customWidth="1"/>
    <col min="28" max="30" width="11.5703125" customWidth="1"/>
  </cols>
  <sheetData>
    <row r="1" spans="1:30" ht="15.75" x14ac:dyDescent="0.25">
      <c r="A1" s="1114" t="s">
        <v>494</v>
      </c>
      <c r="B1" s="1115"/>
      <c r="C1" s="1115"/>
      <c r="D1" s="1115"/>
      <c r="E1" s="1116"/>
    </row>
    <row r="2" spans="1:30" ht="15.75" thickBot="1" x14ac:dyDescent="0.3">
      <c r="A2" s="1117" t="s">
        <v>495</v>
      </c>
      <c r="B2" s="1118"/>
      <c r="C2" s="854"/>
      <c r="D2" s="855"/>
      <c r="E2" s="856"/>
      <c r="G2" s="857" t="s">
        <v>496</v>
      </c>
      <c r="I2" s="858"/>
      <c r="N2" s="858"/>
      <c r="S2" s="858"/>
      <c r="X2" s="858"/>
    </row>
    <row r="3" spans="1:30" x14ac:dyDescent="0.25">
      <c r="A3" s="852"/>
      <c r="B3" s="853"/>
      <c r="C3" s="854"/>
      <c r="D3" s="855" t="s">
        <v>497</v>
      </c>
      <c r="E3" s="856"/>
      <c r="G3" s="1119" t="s">
        <v>498</v>
      </c>
      <c r="H3" s="1120"/>
      <c r="I3" s="1120"/>
      <c r="J3" s="1121"/>
      <c r="K3" s="859"/>
      <c r="L3" s="1119" t="s">
        <v>499</v>
      </c>
      <c r="M3" s="1120"/>
      <c r="N3" s="1120"/>
      <c r="O3" s="1121"/>
      <c r="Q3" s="1122" t="s">
        <v>500</v>
      </c>
      <c r="R3" s="1123"/>
      <c r="S3" s="1123"/>
      <c r="T3" s="1124"/>
      <c r="V3" s="1136" t="s">
        <v>501</v>
      </c>
      <c r="W3" s="1137"/>
      <c r="X3" s="1137"/>
      <c r="Y3" s="1138"/>
      <c r="Z3" s="859"/>
      <c r="AA3" s="1127" t="s">
        <v>502</v>
      </c>
      <c r="AB3" s="1128"/>
      <c r="AC3" s="1128"/>
      <c r="AD3" s="1129"/>
    </row>
    <row r="4" spans="1:30" x14ac:dyDescent="0.25">
      <c r="A4" s="1130" t="s">
        <v>503</v>
      </c>
      <c r="B4" s="1131"/>
      <c r="C4" s="860">
        <f>'[21]FY21 FAS0 UFR'!E5*(1+2.31%)</f>
        <v>5809.8071035796911</v>
      </c>
      <c r="D4" s="861">
        <v>4558.8900000000003</v>
      </c>
      <c r="E4" s="862" t="s">
        <v>608</v>
      </c>
      <c r="G4" s="863"/>
      <c r="H4" s="864" t="s">
        <v>7</v>
      </c>
      <c r="I4" s="865" t="s">
        <v>504</v>
      </c>
      <c r="J4" s="866" t="s">
        <v>505</v>
      </c>
      <c r="K4" s="867"/>
      <c r="L4" s="868"/>
      <c r="M4" s="864"/>
      <c r="N4" s="865" t="s">
        <v>504</v>
      </c>
      <c r="O4" s="869" t="s">
        <v>505</v>
      </c>
      <c r="Q4" s="868"/>
      <c r="R4" s="864"/>
      <c r="S4" s="865" t="s">
        <v>506</v>
      </c>
      <c r="T4" s="866" t="s">
        <v>505</v>
      </c>
      <c r="V4" s="868"/>
      <c r="W4" s="864"/>
      <c r="X4" s="865" t="s">
        <v>506</v>
      </c>
      <c r="Y4" s="866" t="s">
        <v>505</v>
      </c>
      <c r="Z4" s="867"/>
      <c r="AA4" s="870"/>
      <c r="AB4" s="871"/>
      <c r="AC4" s="872" t="s">
        <v>506</v>
      </c>
      <c r="AD4" s="873" t="s">
        <v>505</v>
      </c>
    </row>
    <row r="5" spans="1:30" x14ac:dyDescent="0.25">
      <c r="A5" s="1130" t="s">
        <v>507</v>
      </c>
      <c r="B5" s="1131"/>
      <c r="C5" s="860">
        <f>('[21]FY21 FAS0 UFR'!AC5+'[21]FY21 FAS0 UFR'!AE5)*(1+2.31%)</f>
        <v>11018.322802248362</v>
      </c>
      <c r="D5" s="861">
        <v>9656.92</v>
      </c>
      <c r="E5" s="862" t="s">
        <v>608</v>
      </c>
      <c r="G5" s="377" t="s">
        <v>77</v>
      </c>
      <c r="H5" s="874">
        <f>'[21]M2022 BLS SALARY CHART (53_PCT)'!C22</f>
        <v>79415.232000000018</v>
      </c>
      <c r="I5" s="875">
        <v>0.8</v>
      </c>
      <c r="J5" s="876">
        <f>I5*H5</f>
        <v>63532.185600000019</v>
      </c>
      <c r="K5" s="877"/>
      <c r="L5" s="878" t="str">
        <f>G5</f>
        <v>Program Management</v>
      </c>
      <c r="M5" s="879">
        <f>H5</f>
        <v>79415.232000000018</v>
      </c>
      <c r="N5" s="875">
        <v>0.6</v>
      </c>
      <c r="O5" s="880">
        <f>N5*M5</f>
        <v>47649.139200000012</v>
      </c>
      <c r="P5" s="881"/>
      <c r="Q5" s="377" t="s">
        <v>77</v>
      </c>
      <c r="R5" s="879">
        <f>H5</f>
        <v>79415.232000000018</v>
      </c>
      <c r="S5" s="875">
        <v>4.83</v>
      </c>
      <c r="T5" s="880">
        <f t="shared" ref="T5:T8" si="0">S5*R5</f>
        <v>383575.57056000008</v>
      </c>
      <c r="U5" s="881"/>
      <c r="V5" s="878" t="s">
        <v>77</v>
      </c>
      <c r="W5" s="879">
        <f>R5</f>
        <v>79415.232000000018</v>
      </c>
      <c r="X5" s="875">
        <v>0.5</v>
      </c>
      <c r="Y5" s="880">
        <f>X5*W5</f>
        <v>39707.616000000009</v>
      </c>
      <c r="Z5" s="882"/>
      <c r="AA5" s="706" t="s">
        <v>77</v>
      </c>
      <c r="AB5" s="883">
        <f>M5</f>
        <v>79415.232000000018</v>
      </c>
      <c r="AC5" s="875">
        <v>3.86</v>
      </c>
      <c r="AD5" s="880">
        <f t="shared" ref="AD5:AD12" si="1">AC5*AB5</f>
        <v>306542.79552000004</v>
      </c>
    </row>
    <row r="6" spans="1:30" x14ac:dyDescent="0.25">
      <c r="A6" s="1132" t="s">
        <v>508</v>
      </c>
      <c r="B6" s="1133"/>
      <c r="C6" s="884">
        <f>('[21]FY21 FAS0 UFR'!Q5+'[21]FY21 FAS0 UFR'!U5+'[21]FY21 FAS0 UFR'!W5)*(1+2.31%)</f>
        <v>683.45610441402766</v>
      </c>
      <c r="D6" s="885">
        <f>'[21]PSS BTL UFR FY22'!Q5+'[21]PSS BTL UFR FY22'!U5+'[21]PSS BTL UFR FY22'!W5</f>
        <v>2255.5501470880754</v>
      </c>
      <c r="E6" s="862" t="s">
        <v>608</v>
      </c>
      <c r="G6" s="381" t="s">
        <v>509</v>
      </c>
      <c r="H6" s="874">
        <f>AVERAGE('[21]M2022 BLS SALARY CHART (53_PCT)'!C14,'[21]M2022 BLS SALARY CHART (53_PCT)'!C18)</f>
        <v>72468.656000000003</v>
      </c>
      <c r="I6" s="875">
        <v>0.8</v>
      </c>
      <c r="J6" s="876">
        <f t="shared" ref="J6:J10" si="2">I6*H6</f>
        <v>57974.924800000008</v>
      </c>
      <c r="K6" s="877"/>
      <c r="L6" s="878" t="str">
        <f>G6</f>
        <v>Asst Program Manager</v>
      </c>
      <c r="M6" s="879">
        <f t="shared" ref="L6:M10" si="3">H6</f>
        <v>72468.656000000003</v>
      </c>
      <c r="N6" s="875">
        <v>1.05</v>
      </c>
      <c r="O6" s="880">
        <f t="shared" ref="O6:O10" si="4">N6*M6</f>
        <v>76092.088800000012</v>
      </c>
      <c r="P6" s="881"/>
      <c r="Q6" s="381" t="s">
        <v>510</v>
      </c>
      <c r="R6" s="879">
        <f>'[21]M2022 BLS SALARY CHART (53_PCT)'!C14</f>
        <v>64330.864000000001</v>
      </c>
      <c r="S6" s="886">
        <v>0.16</v>
      </c>
      <c r="T6" s="880">
        <f t="shared" si="0"/>
        <v>10292.938240000001</v>
      </c>
      <c r="U6" s="881"/>
      <c r="V6" s="706" t="s">
        <v>511</v>
      </c>
      <c r="W6" s="879">
        <f>'[21]M2022 BLS SALARY CHART (53_PCT)'!C12</f>
        <v>58616.063999999998</v>
      </c>
      <c r="X6" s="875">
        <v>0.85</v>
      </c>
      <c r="Y6" s="880">
        <f t="shared" ref="Y6:Y8" si="5">X6*W6</f>
        <v>49823.654399999999</v>
      </c>
      <c r="Z6" s="882"/>
      <c r="AA6" s="706" t="s">
        <v>512</v>
      </c>
      <c r="AB6" s="883">
        <f>M6</f>
        <v>72468.656000000003</v>
      </c>
      <c r="AC6" s="875">
        <v>0.62</v>
      </c>
      <c r="AD6" s="880">
        <f t="shared" si="1"/>
        <v>44930.566720000003</v>
      </c>
    </row>
    <row r="7" spans="1:30" x14ac:dyDescent="0.25">
      <c r="A7" s="1134" t="s">
        <v>513</v>
      </c>
      <c r="B7" s="1135"/>
      <c r="C7" s="884">
        <f>'[21]FY21 FAS0 UFR'!AK5*(1+2.31%)</f>
        <v>2558.9266972914106</v>
      </c>
      <c r="D7" s="885">
        <f>'[21]PSS BTL UFR FY22'!AK5</f>
        <v>626.39291932675553</v>
      </c>
      <c r="E7" s="862" t="s">
        <v>608</v>
      </c>
      <c r="G7" s="381" t="s">
        <v>514</v>
      </c>
      <c r="H7" s="874">
        <f>'[21]M2022 BLS SALARY CHART (53_PCT)'!C8</f>
        <v>53206.566400000003</v>
      </c>
      <c r="I7" s="875">
        <v>0.55000000000000004</v>
      </c>
      <c r="J7" s="876">
        <f t="shared" si="2"/>
        <v>29263.611520000006</v>
      </c>
      <c r="K7" s="877"/>
      <c r="L7" s="878" t="str">
        <f t="shared" si="3"/>
        <v>Supervisory (DC III)</v>
      </c>
      <c r="M7" s="879">
        <f t="shared" si="3"/>
        <v>53206.566400000003</v>
      </c>
      <c r="N7" s="875">
        <v>4.2</v>
      </c>
      <c r="O7" s="880">
        <f t="shared" si="4"/>
        <v>223467.57888000002</v>
      </c>
      <c r="P7" s="881"/>
      <c r="Q7" s="381" t="s">
        <v>46</v>
      </c>
      <c r="R7" s="879">
        <f>M9</f>
        <v>41600</v>
      </c>
      <c r="S7" s="886">
        <v>0.02</v>
      </c>
      <c r="T7" s="880">
        <f t="shared" si="0"/>
        <v>832</v>
      </c>
      <c r="U7" s="881"/>
      <c r="V7" s="706" t="str">
        <f>Q6</f>
        <v>Clinician (LCSW)</v>
      </c>
      <c r="W7" s="879">
        <f>R6</f>
        <v>64330.864000000001</v>
      </c>
      <c r="X7" s="875">
        <v>0.5</v>
      </c>
      <c r="Y7" s="880">
        <f t="shared" si="5"/>
        <v>32165.432000000001</v>
      </c>
      <c r="Z7" s="882"/>
      <c r="AA7" s="706" t="s">
        <v>48</v>
      </c>
      <c r="AB7" s="883">
        <f>'[21]M2022 BLS SALARY CHART (53_PCT)'!C32</f>
        <v>102258.624</v>
      </c>
      <c r="AC7" s="875">
        <v>0.04</v>
      </c>
      <c r="AD7" s="880">
        <f t="shared" si="1"/>
        <v>4090.3449599999999</v>
      </c>
    </row>
    <row r="8" spans="1:30" x14ac:dyDescent="0.25">
      <c r="A8" s="1134" t="s">
        <v>515</v>
      </c>
      <c r="B8" s="1135"/>
      <c r="C8" s="884">
        <f>'[21]FY21 FAS0 UFR'!O5*(1+2.31%)</f>
        <v>175.2095304205798</v>
      </c>
      <c r="D8" s="885">
        <f>'[21]PSS BTL UFR FY22'!O5</f>
        <v>771.72646562307273</v>
      </c>
      <c r="E8" s="862" t="s">
        <v>608</v>
      </c>
      <c r="G8" s="381" t="s">
        <v>516</v>
      </c>
      <c r="H8" s="874">
        <f>'[21]M2022 BLS SALARY CHART (53_PCT)'!C8</f>
        <v>53206.566400000003</v>
      </c>
      <c r="I8" s="875">
        <v>5.45</v>
      </c>
      <c r="J8" s="876">
        <f t="shared" si="2"/>
        <v>289975.78688000003</v>
      </c>
      <c r="K8" s="877"/>
      <c r="L8" s="878" t="str">
        <f t="shared" si="3"/>
        <v>Prog Staff III (DC III)</v>
      </c>
      <c r="M8" s="879">
        <f t="shared" si="3"/>
        <v>53206.566400000003</v>
      </c>
      <c r="N8" s="875">
        <v>6</v>
      </c>
      <c r="O8" s="880">
        <f t="shared" si="4"/>
        <v>319239.39840000001</v>
      </c>
      <c r="P8" s="881"/>
      <c r="Q8" s="381" t="s">
        <v>392</v>
      </c>
      <c r="R8" s="879">
        <f>M10</f>
        <v>41600</v>
      </c>
      <c r="S8" s="886">
        <v>2.74</v>
      </c>
      <c r="T8" s="880">
        <f t="shared" si="0"/>
        <v>113984.00000000001</v>
      </c>
      <c r="U8" s="881"/>
      <c r="V8" s="706" t="s">
        <v>392</v>
      </c>
      <c r="W8" s="879">
        <f>R8</f>
        <v>41600</v>
      </c>
      <c r="X8" s="875">
        <v>0.5</v>
      </c>
      <c r="Y8" s="880">
        <f t="shared" si="5"/>
        <v>20800</v>
      </c>
      <c r="Z8" s="889"/>
      <c r="AA8" s="706" t="s">
        <v>47</v>
      </c>
      <c r="AB8" s="883">
        <f>'[21]M2022 BLS SALARY CHART (53_PCT)'!C16</f>
        <v>65676.416000000012</v>
      </c>
      <c r="AC8" s="875">
        <v>0.28000000000000003</v>
      </c>
      <c r="AD8" s="880">
        <f t="shared" si="1"/>
        <v>18389.396480000007</v>
      </c>
    </row>
    <row r="9" spans="1:30" x14ac:dyDescent="0.25">
      <c r="A9" s="1134" t="s">
        <v>517</v>
      </c>
      <c r="B9" s="1135"/>
      <c r="C9" s="884">
        <f>'[21]FY21 FAS0 UFR'!G5</f>
        <v>2403.8616679604852</v>
      </c>
      <c r="D9" s="885">
        <f>'[21]PSS BTL UFR FY22'!G5</f>
        <v>6117.6053256391115</v>
      </c>
      <c r="E9" s="862" t="s">
        <v>608</v>
      </c>
      <c r="G9" s="381" t="s">
        <v>518</v>
      </c>
      <c r="H9" s="874">
        <f>'[21]M2022 BLS SALARY CHART (53_PCT)'!C6</f>
        <v>41600</v>
      </c>
      <c r="I9" s="875">
        <v>2.65</v>
      </c>
      <c r="J9" s="876">
        <f t="shared" si="2"/>
        <v>110240</v>
      </c>
      <c r="K9" s="877"/>
      <c r="L9" s="878" t="str">
        <f t="shared" si="3"/>
        <v>Direct Care /Prg Staff</v>
      </c>
      <c r="M9" s="879">
        <f t="shared" si="3"/>
        <v>41600</v>
      </c>
      <c r="N9" s="875">
        <v>6.3</v>
      </c>
      <c r="O9" s="880">
        <f t="shared" si="4"/>
        <v>262080</v>
      </c>
      <c r="P9" s="881"/>
      <c r="Q9" s="381"/>
      <c r="R9" s="879"/>
      <c r="S9" s="886"/>
      <c r="T9" s="880"/>
      <c r="U9" s="881"/>
      <c r="V9" s="706"/>
      <c r="W9" s="879"/>
      <c r="X9" s="875"/>
      <c r="Y9" s="880"/>
      <c r="Z9" s="875"/>
      <c r="AA9" s="706" t="s">
        <v>511</v>
      </c>
      <c r="AB9" s="883">
        <f>W6</f>
        <v>58616.063999999998</v>
      </c>
      <c r="AC9" s="875">
        <v>0.8</v>
      </c>
      <c r="AD9" s="880">
        <f t="shared" si="1"/>
        <v>46892.851200000005</v>
      </c>
    </row>
    <row r="10" spans="1:30" x14ac:dyDescent="0.25">
      <c r="A10" s="1125" t="s">
        <v>519</v>
      </c>
      <c r="B10" s="1126"/>
      <c r="C10" s="884">
        <f>107862*(3.933%+1)*(2.64386%+1)*(1.87%+1)*(1.78%+1)*(1+2.31%)</f>
        <v>122062.35510039577</v>
      </c>
      <c r="D10" s="884"/>
      <c r="E10" s="862" t="s">
        <v>520</v>
      </c>
      <c r="G10" s="381" t="s">
        <v>392</v>
      </c>
      <c r="H10" s="874">
        <f>'[21]M2022 BLS SALARY CHART (53_PCT)'!C6</f>
        <v>41600</v>
      </c>
      <c r="I10" s="875">
        <v>0.6</v>
      </c>
      <c r="J10" s="876">
        <f t="shared" si="2"/>
        <v>24960</v>
      </c>
      <c r="K10" s="877"/>
      <c r="L10" s="878" t="str">
        <f t="shared" si="3"/>
        <v>Support</v>
      </c>
      <c r="M10" s="879">
        <f t="shared" si="3"/>
        <v>41600</v>
      </c>
      <c r="N10" s="875">
        <v>1.1000000000000001</v>
      </c>
      <c r="O10" s="880">
        <f t="shared" si="4"/>
        <v>45760.000000000007</v>
      </c>
      <c r="P10" s="881"/>
      <c r="Q10" s="381"/>
      <c r="R10" s="879"/>
      <c r="S10" s="886"/>
      <c r="T10" s="880"/>
      <c r="U10" s="881"/>
      <c r="V10" s="706"/>
      <c r="W10" s="879"/>
      <c r="X10" s="875"/>
      <c r="Y10" s="880"/>
      <c r="Z10" s="882"/>
      <c r="AA10" s="706" t="s">
        <v>521</v>
      </c>
      <c r="AB10" s="883">
        <f>M7</f>
        <v>53206.566400000003</v>
      </c>
      <c r="AC10" s="875">
        <v>3.5</v>
      </c>
      <c r="AD10" s="880">
        <f t="shared" si="1"/>
        <v>186222.98240000001</v>
      </c>
    </row>
    <row r="11" spans="1:30" x14ac:dyDescent="0.25">
      <c r="A11" s="1139" t="s">
        <v>522</v>
      </c>
      <c r="B11" s="1140"/>
      <c r="C11" s="884">
        <f>'[21]FY21 FAS0 UFR'!M5*(1+2.31%)</f>
        <v>1225.3198736804113</v>
      </c>
      <c r="D11" s="885">
        <f>'[21]PSS BTL UFR FY22'!M5</f>
        <v>18263.277202072539</v>
      </c>
      <c r="E11" s="862" t="s">
        <v>608</v>
      </c>
      <c r="G11" s="381"/>
      <c r="H11" s="874"/>
      <c r="I11" s="875"/>
      <c r="J11" s="876"/>
      <c r="K11" s="877"/>
      <c r="L11" s="878"/>
      <c r="M11" s="879"/>
      <c r="N11" s="875"/>
      <c r="O11" s="880"/>
      <c r="P11" s="881"/>
      <c r="Q11" s="381"/>
      <c r="R11" s="879"/>
      <c r="S11" s="886"/>
      <c r="T11" s="880"/>
      <c r="U11" s="881"/>
      <c r="V11" s="706"/>
      <c r="W11" s="879"/>
      <c r="X11" s="875"/>
      <c r="Y11" s="880"/>
      <c r="Z11" s="889"/>
      <c r="AA11" s="706" t="s">
        <v>523</v>
      </c>
      <c r="AB11" s="883">
        <f>H9</f>
        <v>41600</v>
      </c>
      <c r="AC11" s="875">
        <v>2</v>
      </c>
      <c r="AD11" s="880">
        <f t="shared" si="1"/>
        <v>83200</v>
      </c>
    </row>
    <row r="12" spans="1:30" ht="15.75" thickBot="1" x14ac:dyDescent="0.3">
      <c r="A12" s="1141" t="s">
        <v>524</v>
      </c>
      <c r="B12" s="1142"/>
      <c r="C12" s="860">
        <f>287062*(3.933%+1)*(2.64386%+1)*(1.87%+1)*(1.78%+1)*(1+2.31%)+5000</f>
        <v>329854.57139520691</v>
      </c>
      <c r="D12" s="860"/>
      <c r="E12" s="862" t="s">
        <v>520</v>
      </c>
      <c r="G12" s="381"/>
      <c r="H12" s="874"/>
      <c r="I12" s="875"/>
      <c r="J12" s="876"/>
      <c r="K12" s="877"/>
      <c r="L12" s="878"/>
      <c r="M12" s="879"/>
      <c r="N12" s="875"/>
      <c r="O12" s="880"/>
      <c r="P12" s="881"/>
      <c r="Q12" s="384"/>
      <c r="R12" s="890"/>
      <c r="S12" s="891"/>
      <c r="T12" s="892"/>
      <c r="U12" s="881"/>
      <c r="V12" s="706"/>
      <c r="W12" s="879"/>
      <c r="X12" s="875"/>
      <c r="Y12" s="880"/>
      <c r="Z12" s="893"/>
      <c r="AA12" s="706" t="s">
        <v>392</v>
      </c>
      <c r="AB12" s="883">
        <f>H10</f>
        <v>41600</v>
      </c>
      <c r="AC12" s="875">
        <v>0.4</v>
      </c>
      <c r="AD12" s="880">
        <f t="shared" si="1"/>
        <v>16640</v>
      </c>
    </row>
    <row r="13" spans="1:30" ht="15.75" thickBot="1" x14ac:dyDescent="0.3">
      <c r="A13" s="1134" t="s">
        <v>525</v>
      </c>
      <c r="B13" s="1135"/>
      <c r="C13" s="884">
        <f>'[21]FY21 FAS0 UFR'!S5*(1+2.31%)</f>
        <v>263.85399929651777</v>
      </c>
      <c r="D13" s="885">
        <f>'[21]PSS BTL UFR FY22'!S5</f>
        <v>109.73183545004541</v>
      </c>
      <c r="E13" s="862" t="s">
        <v>608</v>
      </c>
      <c r="G13" s="894" t="s">
        <v>10</v>
      </c>
      <c r="H13" s="895"/>
      <c r="I13" s="896">
        <f>SUM(I5:I10)</f>
        <v>10.85</v>
      </c>
      <c r="J13" s="897">
        <f>SUM(J5:J10)</f>
        <v>575946.50880000007</v>
      </c>
      <c r="K13" s="877"/>
      <c r="L13" s="894" t="s">
        <v>10</v>
      </c>
      <c r="M13" s="898"/>
      <c r="N13" s="896">
        <f>SUM(N5:N10)</f>
        <v>19.25</v>
      </c>
      <c r="O13" s="899">
        <f>SUM(O5:O10)</f>
        <v>974288.20528000011</v>
      </c>
      <c r="P13" s="881"/>
      <c r="Q13" s="900" t="s">
        <v>10</v>
      </c>
      <c r="R13" s="901"/>
      <c r="S13" s="902">
        <f>SUM(S5:S8)</f>
        <v>7.75</v>
      </c>
      <c r="T13" s="903">
        <f>SUM(T5:T8)</f>
        <v>508684.50880000007</v>
      </c>
      <c r="U13" s="881"/>
      <c r="V13" s="894" t="s">
        <v>10</v>
      </c>
      <c r="W13" s="904"/>
      <c r="X13" s="905">
        <f>SUM(X5:X8)</f>
        <v>2.35</v>
      </c>
      <c r="Y13" s="906">
        <f>SUM(Y5:Y8)</f>
        <v>142496.70240000001</v>
      </c>
      <c r="Z13" s="883"/>
      <c r="AA13" s="894" t="s">
        <v>10</v>
      </c>
      <c r="AB13" s="907"/>
      <c r="AC13" s="905">
        <f>SUM(AC5:AC12)</f>
        <v>11.5</v>
      </c>
      <c r="AD13" s="906">
        <f>SUM(AD5:AD12)</f>
        <v>706908.93728000007</v>
      </c>
    </row>
    <row r="14" spans="1:30" x14ac:dyDescent="0.25">
      <c r="A14" s="1125" t="s">
        <v>526</v>
      </c>
      <c r="B14" s="1126"/>
      <c r="C14" s="884">
        <f>'[21]FY21 FAS0 UFR'!AA5*(1+2.31%)</f>
        <v>531.59955207166854</v>
      </c>
      <c r="D14" s="885">
        <f>'[21]PSS BTL UFR FY22'!AA5</f>
        <v>12.975098296199214</v>
      </c>
      <c r="E14" s="862" t="s">
        <v>608</v>
      </c>
      <c r="G14" s="908" t="s">
        <v>52</v>
      </c>
      <c r="H14" s="382"/>
      <c r="I14" s="909">
        <f>'[21]M2022 BLS SALARY CHART (53_PCT)'!C38</f>
        <v>0.27379999999999999</v>
      </c>
      <c r="J14" s="910">
        <f>I14*J13</f>
        <v>157694.15410944002</v>
      </c>
      <c r="K14" s="911"/>
      <c r="L14" s="908" t="s">
        <v>52</v>
      </c>
      <c r="M14" s="382"/>
      <c r="N14" s="912">
        <f>I14</f>
        <v>0.27379999999999999</v>
      </c>
      <c r="O14" s="913">
        <f>O13*N14</f>
        <v>266760.11060566403</v>
      </c>
      <c r="P14" s="914"/>
      <c r="Q14" s="915" t="s">
        <v>52</v>
      </c>
      <c r="R14" s="916"/>
      <c r="S14" s="917">
        <f>I14</f>
        <v>0.27379999999999999</v>
      </c>
      <c r="T14" s="918">
        <f>S14*T13</f>
        <v>139277.81850944003</v>
      </c>
      <c r="U14" s="881"/>
      <c r="V14" s="919" t="s">
        <v>52</v>
      </c>
      <c r="W14" s="920"/>
      <c r="X14" s="917">
        <f>S14</f>
        <v>0.27379999999999999</v>
      </c>
      <c r="Y14" s="921">
        <f>X14*Y13</f>
        <v>39015.59711712</v>
      </c>
      <c r="Z14" s="883"/>
      <c r="AA14" s="919" t="s">
        <v>52</v>
      </c>
      <c r="AB14" s="920"/>
      <c r="AC14" s="917">
        <f>I14</f>
        <v>0.27379999999999999</v>
      </c>
      <c r="AD14" s="922">
        <f>AC14*AD13</f>
        <v>193551.66702726402</v>
      </c>
    </row>
    <row r="15" spans="1:30" ht="15.75" thickBot="1" x14ac:dyDescent="0.3">
      <c r="A15" s="1139" t="s">
        <v>527</v>
      </c>
      <c r="B15" s="1135"/>
      <c r="C15" s="860">
        <f>227880*(3.933%+1)*(2.64386%+1)*(1.87%+1)*(1.78%+1)*(1+2.31%)+10500</f>
        <v>268381.08398025425</v>
      </c>
      <c r="D15" s="860"/>
      <c r="E15" s="862" t="s">
        <v>520</v>
      </c>
      <c r="G15" s="923" t="s">
        <v>528</v>
      </c>
      <c r="H15" s="924"/>
      <c r="I15" s="924"/>
      <c r="J15" s="925">
        <f>J14+J13</f>
        <v>733640.66290944011</v>
      </c>
      <c r="K15" s="911"/>
      <c r="L15" s="923" t="s">
        <v>528</v>
      </c>
      <c r="M15" s="924"/>
      <c r="N15" s="924"/>
      <c r="O15" s="926">
        <f>O14+O13</f>
        <v>1241048.3158856642</v>
      </c>
      <c r="P15" s="881"/>
      <c r="Q15" s="923" t="s">
        <v>528</v>
      </c>
      <c r="R15" s="924"/>
      <c r="S15" s="924"/>
      <c r="T15" s="926">
        <f>T14+T13</f>
        <v>647962.32730944012</v>
      </c>
      <c r="U15" s="881"/>
      <c r="V15" s="923" t="s">
        <v>528</v>
      </c>
      <c r="W15" s="927"/>
      <c r="X15" s="927"/>
      <c r="Y15" s="928">
        <f>Y14+Y13</f>
        <v>181512.29951712</v>
      </c>
      <c r="Z15" s="877"/>
      <c r="AA15" s="863" t="s">
        <v>529</v>
      </c>
      <c r="AB15" s="929"/>
      <c r="AC15" s="929"/>
      <c r="AD15" s="930">
        <f>AD14+AD13</f>
        <v>900460.60430726409</v>
      </c>
    </row>
    <row r="16" spans="1:30" ht="15.75" thickTop="1" x14ac:dyDescent="0.25">
      <c r="A16" s="1139" t="s">
        <v>530</v>
      </c>
      <c r="B16" s="1135"/>
      <c r="C16" s="931">
        <f>59983*(3.933%+1)*(2.64386%+1)*(1.87%+1)*(1.78%+1)*(1+2.31%)</f>
        <v>67879.941462118615</v>
      </c>
      <c r="D16" s="932"/>
      <c r="E16" s="862" t="s">
        <v>520</v>
      </c>
      <c r="G16" s="706"/>
      <c r="H16" s="933" t="s">
        <v>531</v>
      </c>
      <c r="I16" s="933"/>
      <c r="J16" s="934"/>
      <c r="K16" s="911"/>
      <c r="L16" s="935"/>
      <c r="M16" s="933" t="s">
        <v>531</v>
      </c>
      <c r="N16" s="933"/>
      <c r="O16" s="936"/>
      <c r="P16" s="937"/>
      <c r="Q16" s="938"/>
      <c r="R16" s="933" t="s">
        <v>531</v>
      </c>
      <c r="S16" s="382"/>
      <c r="T16" s="939"/>
      <c r="V16" s="706"/>
      <c r="W16" s="933" t="s">
        <v>531</v>
      </c>
      <c r="X16" s="940"/>
      <c r="Y16" s="941"/>
      <c r="Z16" s="877"/>
      <c r="AA16" s="942"/>
      <c r="AB16" s="933" t="s">
        <v>531</v>
      </c>
      <c r="AC16" s="940"/>
      <c r="AD16" s="943"/>
    </row>
    <row r="17" spans="1:31" ht="27.6" customHeight="1" x14ac:dyDescent="0.25">
      <c r="A17" s="887"/>
      <c r="B17" s="888"/>
      <c r="C17" s="884"/>
      <c r="D17" s="885"/>
      <c r="E17" s="862"/>
      <c r="G17" s="381" t="str">
        <f>A4</f>
        <v>Occupancy</v>
      </c>
      <c r="H17" s="944">
        <f>C4</f>
        <v>5809.8071035796911</v>
      </c>
      <c r="I17" s="382"/>
      <c r="J17" s="910">
        <f>H17*I13</f>
        <v>63036.407073839648</v>
      </c>
      <c r="K17" s="945"/>
      <c r="L17" s="381" t="s">
        <v>503</v>
      </c>
      <c r="M17" s="946">
        <f>H17</f>
        <v>5809.8071035796911</v>
      </c>
      <c r="N17" s="382"/>
      <c r="O17" s="910">
        <f>N13*M17</f>
        <v>111838.78674390905</v>
      </c>
      <c r="P17" s="881"/>
      <c r="Q17" s="381" t="s">
        <v>503</v>
      </c>
      <c r="R17" s="946">
        <f>M17</f>
        <v>5809.8071035796911</v>
      </c>
      <c r="S17" s="382"/>
      <c r="T17" s="947">
        <f>R17*S13</f>
        <v>45026.005052742606</v>
      </c>
      <c r="U17" s="881"/>
      <c r="V17" s="381" t="str">
        <f>Q17</f>
        <v>Occupancy</v>
      </c>
      <c r="W17" s="883">
        <f>R17</f>
        <v>5809.8071035796911</v>
      </c>
      <c r="X17" s="940"/>
      <c r="Y17" s="948">
        <f>W17*X13</f>
        <v>13653.046693412274</v>
      </c>
      <c r="Z17" s="883"/>
      <c r="AA17" s="381" t="str">
        <f>Q17</f>
        <v>Occupancy</v>
      </c>
      <c r="AB17" s="879">
        <f>W17</f>
        <v>5809.8071035796911</v>
      </c>
      <c r="AC17" s="940"/>
      <c r="AD17" s="949">
        <f>AB17*AC13</f>
        <v>66812.781691166441</v>
      </c>
    </row>
    <row r="18" spans="1:31" ht="37.5" thickBot="1" x14ac:dyDescent="0.3">
      <c r="A18" s="1144"/>
      <c r="B18" s="1145"/>
      <c r="C18" s="1145"/>
      <c r="D18" s="1146"/>
      <c r="E18" s="1147"/>
      <c r="G18" s="381" t="str">
        <f>A5</f>
        <v>Other Client Expenses</v>
      </c>
      <c r="H18" s="944">
        <f>C5</f>
        <v>11018.322802248362</v>
      </c>
      <c r="I18" s="382"/>
      <c r="J18" s="910">
        <v>43890.885159654703</v>
      </c>
      <c r="K18" s="945"/>
      <c r="L18" s="381" t="str">
        <f>G18</f>
        <v>Other Client Expenses</v>
      </c>
      <c r="M18" s="946">
        <f>H18</f>
        <v>11018.322802248362</v>
      </c>
      <c r="N18" s="382"/>
      <c r="O18" s="910">
        <f>M18*N13</f>
        <v>212102.71394328098</v>
      </c>
      <c r="P18" s="881"/>
      <c r="Q18" s="381" t="str">
        <f>L18</f>
        <v>Other Client Expenses</v>
      </c>
      <c r="R18" s="946">
        <f>M18</f>
        <v>11018.322802248362</v>
      </c>
      <c r="S18" s="382"/>
      <c r="T18" s="947">
        <f>R18*S13</f>
        <v>85392.001717424806</v>
      </c>
      <c r="U18" s="881"/>
      <c r="V18" s="950" t="s">
        <v>532</v>
      </c>
      <c r="W18" s="951">
        <f>C6+C13+C7+C8+C11</f>
        <v>4906.7662051029474</v>
      </c>
      <c r="X18" s="952"/>
      <c r="Y18" s="953">
        <f>W18*X13</f>
        <v>11530.900581991928</v>
      </c>
      <c r="Z18" s="882"/>
      <c r="AA18" s="706" t="s">
        <v>533</v>
      </c>
      <c r="AB18" s="940"/>
      <c r="AC18" s="940"/>
      <c r="AD18" s="948">
        <f>C16</f>
        <v>67879.941462118615</v>
      </c>
    </row>
    <row r="19" spans="1:31" ht="25.5" thickTop="1" x14ac:dyDescent="0.25">
      <c r="A19" s="1148" t="s">
        <v>534</v>
      </c>
      <c r="B19" s="1149"/>
      <c r="C19" s="954">
        <f>'[21]M2022 BLS SALARY CHART (53_PCT)'!C38</f>
        <v>0.27379999999999999</v>
      </c>
      <c r="D19" s="955"/>
      <c r="E19" s="862" t="s">
        <v>535</v>
      </c>
      <c r="G19" s="956" t="s">
        <v>536</v>
      </c>
      <c r="H19" s="957">
        <f>C6+C7+C8+C13</f>
        <v>3681.4463314225363</v>
      </c>
      <c r="I19" s="382"/>
      <c r="J19" s="910">
        <f>(I6+I8+I9)*H19</f>
        <v>32764.872349660574</v>
      </c>
      <c r="K19" s="945"/>
      <c r="L19" s="958" t="s">
        <v>537</v>
      </c>
      <c r="M19" s="946">
        <f>C6+C7+C8+C13+C9</f>
        <v>6085.3079993830215</v>
      </c>
      <c r="N19" s="382"/>
      <c r="O19" s="910">
        <f>M19*N13</f>
        <v>117142.17898812317</v>
      </c>
      <c r="P19" s="881"/>
      <c r="Q19" s="958" t="str">
        <f>L19</f>
        <v>Transportation / Travel/ Training / Consultansts /Prg Materials  &amp; Meals</v>
      </c>
      <c r="R19" s="879">
        <f>M19</f>
        <v>6085.3079993830215</v>
      </c>
      <c r="S19" s="959"/>
      <c r="T19" s="960">
        <f>R19*S13</f>
        <v>47161.136995218418</v>
      </c>
      <c r="U19" s="881"/>
      <c r="V19" s="961"/>
      <c r="W19" s="962"/>
      <c r="X19" s="940"/>
      <c r="Y19" s="948"/>
      <c r="Z19" s="882"/>
      <c r="AA19" s="963" t="s">
        <v>538</v>
      </c>
      <c r="AB19" s="964">
        <f>C14</f>
        <v>531.59955207166854</v>
      </c>
      <c r="AC19" s="940"/>
      <c r="AD19" s="948">
        <f>SUM(AC7:AC11)*AB19</f>
        <v>3519.1890347144458</v>
      </c>
    </row>
    <row r="20" spans="1:31" x14ac:dyDescent="0.25">
      <c r="A20" s="1150" t="s">
        <v>539</v>
      </c>
      <c r="B20" s="1151"/>
      <c r="C20" s="965">
        <f>'[21]M2022 BLS SALARY CHART (53_PCT)'!C41</f>
        <v>0.12</v>
      </c>
      <c r="D20" s="966"/>
      <c r="E20" s="862" t="s">
        <v>223</v>
      </c>
      <c r="G20" s="706"/>
      <c r="H20" s="879"/>
      <c r="I20" s="940"/>
      <c r="J20" s="910"/>
      <c r="K20" s="945"/>
      <c r="L20" s="381" t="s">
        <v>517</v>
      </c>
      <c r="M20" s="382"/>
      <c r="N20" s="382"/>
      <c r="O20" s="910">
        <f>C10</f>
        <v>122062.35510039577</v>
      </c>
      <c r="P20" s="881"/>
      <c r="Q20" s="967" t="s">
        <v>540</v>
      </c>
      <c r="R20" s="879"/>
      <c r="S20" s="959"/>
      <c r="T20" s="960">
        <f>C15</f>
        <v>268381.08398025425</v>
      </c>
      <c r="U20" s="881"/>
      <c r="V20" s="961"/>
      <c r="W20" s="962"/>
      <c r="X20" s="940"/>
      <c r="Y20" s="948"/>
      <c r="Z20" s="882"/>
      <c r="AA20" s="963"/>
      <c r="AB20" s="964"/>
      <c r="AC20" s="940"/>
      <c r="AD20" s="948"/>
    </row>
    <row r="21" spans="1:31" ht="16.5" thickBot="1" x14ac:dyDescent="0.3">
      <c r="A21" s="1152" t="s">
        <v>413</v>
      </c>
      <c r="B21" s="1153"/>
      <c r="C21" s="968">
        <f>'[21]IFC &amp; Enhanced FC'!C14</f>
        <v>2.5758086673353865E-2</v>
      </c>
      <c r="D21" s="969"/>
      <c r="E21" s="793" t="s">
        <v>455</v>
      </c>
      <c r="G21" s="706"/>
      <c r="H21" s="879"/>
      <c r="I21" s="940"/>
      <c r="J21" s="910"/>
      <c r="K21" s="945"/>
      <c r="L21" s="706" t="s">
        <v>541</v>
      </c>
      <c r="M21" s="970"/>
      <c r="N21" s="959">
        <v>0.1</v>
      </c>
      <c r="O21" s="910">
        <f>O20*N21</f>
        <v>12206.235510039578</v>
      </c>
      <c r="P21" s="971"/>
      <c r="Q21" s="967" t="s">
        <v>542</v>
      </c>
      <c r="R21" s="879"/>
      <c r="S21" s="959"/>
      <c r="T21" s="960">
        <f>C12</f>
        <v>329854.57139520691</v>
      </c>
      <c r="U21" s="971"/>
      <c r="V21" s="961"/>
      <c r="W21" s="962"/>
      <c r="X21" s="940"/>
      <c r="Y21" s="948"/>
      <c r="Z21" s="882"/>
      <c r="AA21" s="963"/>
      <c r="AB21" s="964"/>
      <c r="AC21" s="940"/>
      <c r="AD21" s="948"/>
    </row>
    <row r="22" spans="1:31" ht="27" thickBot="1" x14ac:dyDescent="0.3">
      <c r="G22" s="706"/>
      <c r="H22" s="879"/>
      <c r="I22" s="940"/>
      <c r="J22" s="910"/>
      <c r="K22" s="911"/>
      <c r="L22" s="706"/>
      <c r="M22" s="970"/>
      <c r="N22" s="959"/>
      <c r="O22" s="910"/>
      <c r="P22" s="972"/>
      <c r="Q22" s="967" t="s">
        <v>543</v>
      </c>
      <c r="R22" s="879"/>
      <c r="S22" s="959">
        <v>0.15</v>
      </c>
      <c r="T22" s="973">
        <f>(T20+T21)*S22</f>
        <v>89735.348306319167</v>
      </c>
      <c r="U22" s="881"/>
      <c r="V22" s="961"/>
      <c r="W22" s="962"/>
      <c r="X22" s="940"/>
      <c r="Y22" s="948"/>
      <c r="Z22" s="974"/>
      <c r="AA22" s="963"/>
      <c r="AB22" s="964"/>
      <c r="AC22" s="940"/>
      <c r="AD22" s="948"/>
    </row>
    <row r="23" spans="1:31" ht="15.75" thickBot="1" x14ac:dyDescent="0.3">
      <c r="F23" s="975"/>
      <c r="G23" s="894" t="s">
        <v>544</v>
      </c>
      <c r="H23" s="895"/>
      <c r="I23" s="895"/>
      <c r="J23" s="897">
        <f>J15+J17+J18+J19+J20</f>
        <v>873332.82749259507</v>
      </c>
      <c r="K23" s="945"/>
      <c r="L23" s="894" t="s">
        <v>544</v>
      </c>
      <c r="M23" s="895"/>
      <c r="N23" s="895"/>
      <c r="O23" s="899">
        <f>O21+O20+O19+O18+O17+O15</f>
        <v>1816400.5861714128</v>
      </c>
      <c r="P23" s="976"/>
      <c r="Q23" s="894" t="s">
        <v>544</v>
      </c>
      <c r="R23" s="895"/>
      <c r="S23" s="895"/>
      <c r="T23" s="899">
        <f>SUM(T15:T22)</f>
        <v>1513512.4747566064</v>
      </c>
      <c r="U23" s="976"/>
      <c r="V23" s="894" t="s">
        <v>544</v>
      </c>
      <c r="W23" s="895"/>
      <c r="X23" s="895"/>
      <c r="Y23" s="899">
        <f>Y15+Y17+Y18</f>
        <v>206696.24679252421</v>
      </c>
      <c r="Z23" s="150"/>
      <c r="AA23" s="894" t="s">
        <v>544</v>
      </c>
      <c r="AB23" s="907"/>
      <c r="AC23" s="907"/>
      <c r="AD23" s="906">
        <f>SUM(AD15:AD19)</f>
        <v>1038672.5164952637</v>
      </c>
    </row>
    <row r="24" spans="1:31" ht="15.75" thickBot="1" x14ac:dyDescent="0.3">
      <c r="B24" s="1096" t="s">
        <v>609</v>
      </c>
      <c r="G24" s="379" t="s">
        <v>545</v>
      </c>
      <c r="H24" s="977">
        <f>'[21]M2022 BLS SALARY CHART (53_PCT)'!C41</f>
        <v>0.12</v>
      </c>
      <c r="I24" s="978"/>
      <c r="J24" s="979">
        <f>J23*H24</f>
        <v>104799.9392991114</v>
      </c>
      <c r="K24" s="980"/>
      <c r="L24" s="379" t="s">
        <v>545</v>
      </c>
      <c r="M24" s="981">
        <v>0.12</v>
      </c>
      <c r="N24" s="982"/>
      <c r="O24" s="983">
        <f>O23*M24</f>
        <v>217968.07034056954</v>
      </c>
      <c r="P24" s="972"/>
      <c r="Q24" s="381" t="s">
        <v>545</v>
      </c>
      <c r="R24" s="984">
        <v>0.12</v>
      </c>
      <c r="S24" s="382"/>
      <c r="T24" s="913">
        <f>R24*T23</f>
        <v>181621.49697079277</v>
      </c>
      <c r="U24" s="976"/>
      <c r="V24" s="379" t="s">
        <v>545</v>
      </c>
      <c r="W24" s="985">
        <v>0.12</v>
      </c>
      <c r="X24" s="952"/>
      <c r="Y24" s="986">
        <f>Y23*W24</f>
        <v>24803.549615102904</v>
      </c>
      <c r="AA24" s="379" t="s">
        <v>545</v>
      </c>
      <c r="AB24" s="977">
        <v>0.12</v>
      </c>
      <c r="AC24" s="952"/>
      <c r="AD24" s="986">
        <f>AD23*AB24</f>
        <v>124640.70197943163</v>
      </c>
    </row>
    <row r="25" spans="1:31" ht="15.75" thickTop="1" x14ac:dyDescent="0.25">
      <c r="G25" s="919" t="s">
        <v>430</v>
      </c>
      <c r="H25" s="920"/>
      <c r="I25" s="916"/>
      <c r="J25" s="987">
        <f>J23+J24</f>
        <v>978132.76679170644</v>
      </c>
      <c r="K25" s="980"/>
      <c r="L25" s="919" t="s">
        <v>430</v>
      </c>
      <c r="M25" s="920"/>
      <c r="N25" s="988"/>
      <c r="O25" s="989">
        <f>O24+O23</f>
        <v>2034368.6565119824</v>
      </c>
      <c r="P25" s="976"/>
      <c r="Q25" s="868" t="s">
        <v>9</v>
      </c>
      <c r="R25" s="990"/>
      <c r="S25" s="991"/>
      <c r="T25" s="992">
        <f>T24+T23</f>
        <v>1695133.9717273992</v>
      </c>
      <c r="U25" s="976"/>
      <c r="V25" s="381" t="s">
        <v>9</v>
      </c>
      <c r="W25" s="912"/>
      <c r="X25" s="940"/>
      <c r="Y25" s="880">
        <f>Y24+Y23</f>
        <v>231499.79640762712</v>
      </c>
      <c r="AA25" s="863" t="s">
        <v>9</v>
      </c>
      <c r="AB25" s="929"/>
      <c r="AC25" s="929"/>
      <c r="AD25" s="930">
        <f>AD24+AD23</f>
        <v>1163313.2184746952</v>
      </c>
    </row>
    <row r="26" spans="1:31" x14ac:dyDescent="0.25">
      <c r="G26" s="993" t="s">
        <v>57</v>
      </c>
      <c r="H26" s="994">
        <f>C21</f>
        <v>2.5758086673353865E-2</v>
      </c>
      <c r="I26" s="382"/>
      <c r="J26" s="995">
        <f>J23*H26</f>
        <v>22495.382665239464</v>
      </c>
      <c r="K26" s="945"/>
      <c r="L26" s="381" t="s">
        <v>57</v>
      </c>
      <c r="M26" s="984">
        <f>C21</f>
        <v>2.5758086673353865E-2</v>
      </c>
      <c r="N26" s="382"/>
      <c r="O26" s="913">
        <f>O23*M26</f>
        <v>46787.003732134021</v>
      </c>
      <c r="P26" s="972"/>
      <c r="Q26" s="908" t="s">
        <v>57</v>
      </c>
      <c r="R26" s="383">
        <f>C21</f>
        <v>2.5758086673353865E-2</v>
      </c>
      <c r="S26" s="382"/>
      <c r="T26" s="939">
        <f>T23*R26</f>
        <v>38985.185505982969</v>
      </c>
      <c r="U26" s="976"/>
      <c r="V26" s="381" t="s">
        <v>57</v>
      </c>
      <c r="W26" s="912">
        <f>C21</f>
        <v>2.5758086673353865E-2</v>
      </c>
      <c r="X26" s="940"/>
      <c r="Y26" s="880">
        <f>Y23*W26</f>
        <v>5324.099839938779</v>
      </c>
      <c r="AA26" s="942" t="s">
        <v>57</v>
      </c>
      <c r="AB26" s="996">
        <f>C21</f>
        <v>2.5758086673353865E-2</v>
      </c>
      <c r="AC26" s="929"/>
      <c r="AD26" s="997">
        <f>AD23*AB26</f>
        <v>26754.216705115574</v>
      </c>
    </row>
    <row r="27" spans="1:31" x14ac:dyDescent="0.25">
      <c r="G27" s="998" t="s">
        <v>546</v>
      </c>
      <c r="H27" s="940"/>
      <c r="I27" s="382"/>
      <c r="J27" s="910">
        <f>(J26+J25)/12</f>
        <v>83385.679121412162</v>
      </c>
      <c r="K27" s="945"/>
      <c r="L27" s="868" t="s">
        <v>430</v>
      </c>
      <c r="M27" s="991"/>
      <c r="N27" s="991"/>
      <c r="O27" s="999">
        <f>O26+O25</f>
        <v>2081155.6602441166</v>
      </c>
      <c r="P27" s="976"/>
      <c r="Q27" s="868" t="s">
        <v>9</v>
      </c>
      <c r="R27" s="990"/>
      <c r="S27" s="991"/>
      <c r="T27" s="992">
        <f>T26+T25</f>
        <v>1734119.1572333821</v>
      </c>
      <c r="U27" s="976"/>
      <c r="V27" s="919" t="s">
        <v>430</v>
      </c>
      <c r="W27" s="920"/>
      <c r="X27" s="920"/>
      <c r="Y27" s="922">
        <f>Y26+Y25</f>
        <v>236823.89624756589</v>
      </c>
      <c r="AA27" s="863" t="s">
        <v>9</v>
      </c>
      <c r="AB27" s="920"/>
      <c r="AC27" s="920"/>
      <c r="AD27" s="921">
        <f>AD26+AD25</f>
        <v>1190067.4351798107</v>
      </c>
    </row>
    <row r="28" spans="1:31" ht="15.75" thickBot="1" x14ac:dyDescent="0.3">
      <c r="G28" s="1000"/>
      <c r="H28" s="1001"/>
      <c r="I28" s="1002"/>
      <c r="J28" s="1003">
        <f>J27</f>
        <v>83385.679121412162</v>
      </c>
      <c r="L28" s="1004" t="s">
        <v>546</v>
      </c>
      <c r="M28" s="991"/>
      <c r="N28" s="991"/>
      <c r="O28" s="1005">
        <f>O27/12</f>
        <v>173429.63835367639</v>
      </c>
      <c r="Q28" s="381" t="s">
        <v>546</v>
      </c>
      <c r="R28" s="382"/>
      <c r="S28" s="382"/>
      <c r="T28" s="1006">
        <f>T27/12</f>
        <v>144509.9297694485</v>
      </c>
      <c r="U28" s="1007"/>
      <c r="V28" s="1008" t="s">
        <v>547</v>
      </c>
      <c r="W28" s="940"/>
      <c r="X28" s="940"/>
      <c r="Y28" s="1009">
        <f>Y27/365/10</f>
        <v>64.883259245908462</v>
      </c>
      <c r="AA28" s="706" t="s">
        <v>548</v>
      </c>
      <c r="AB28" s="1010">
        <v>0.85</v>
      </c>
      <c r="AC28" s="940"/>
      <c r="AD28" s="1011"/>
    </row>
    <row r="29" spans="1:31" ht="15.75" thickBot="1" x14ac:dyDescent="0.3">
      <c r="G29" s="1012"/>
      <c r="H29" s="1013"/>
      <c r="I29" t="s">
        <v>407</v>
      </c>
      <c r="J29" s="1014">
        <v>70805.819627190256</v>
      </c>
      <c r="L29" s="384"/>
      <c r="M29" s="1015"/>
      <c r="N29" s="1016"/>
      <c r="O29" s="1017">
        <f>O28</f>
        <v>173429.63835367639</v>
      </c>
      <c r="Q29" s="381" t="s">
        <v>549</v>
      </c>
      <c r="R29" s="1018">
        <f>25.77*(2.31%+1)</f>
        <v>26.365286999999999</v>
      </c>
      <c r="S29" s="1019">
        <v>9000</v>
      </c>
      <c r="T29" s="913">
        <f>S29*R29</f>
        <v>237287.58299999998</v>
      </c>
      <c r="U29" s="976"/>
      <c r="V29" s="384"/>
      <c r="W29" s="1020"/>
      <c r="X29" s="1021"/>
      <c r="Y29" s="1022">
        <f>Y28</f>
        <v>64.883259245908462</v>
      </c>
      <c r="AA29" s="706" t="s">
        <v>550</v>
      </c>
      <c r="AB29" s="940"/>
      <c r="AC29" s="940"/>
      <c r="AD29" s="1023">
        <f>AD27/AB28/365/10</f>
        <v>383.58337959059168</v>
      </c>
    </row>
    <row r="30" spans="1:31" ht="15.75" thickBot="1" x14ac:dyDescent="0.3">
      <c r="H30" s="1012"/>
      <c r="I30" s="1012"/>
      <c r="J30" s="1024">
        <f>(J28-J29)/J29</f>
        <v>0.17766702737794585</v>
      </c>
      <c r="L30" s="382"/>
      <c r="M30" s="382"/>
      <c r="N30" t="s">
        <v>407</v>
      </c>
      <c r="O30" s="1025">
        <v>151092.14759968114</v>
      </c>
      <c r="P30" s="1026"/>
      <c r="Q30" s="381" t="s">
        <v>551</v>
      </c>
      <c r="R30" s="1027">
        <v>25.77</v>
      </c>
      <c r="S30" s="1028">
        <v>9000</v>
      </c>
      <c r="T30" s="1029">
        <f>S30*R30</f>
        <v>231930</v>
      </c>
      <c r="U30" s="1030"/>
      <c r="V30" s="914"/>
      <c r="X30" t="s">
        <v>407</v>
      </c>
      <c r="Y30" s="1031">
        <v>53.628487214424922</v>
      </c>
      <c r="AA30" s="1032"/>
      <c r="AB30" s="1001"/>
      <c r="AC30" s="1033"/>
      <c r="AD30" s="1034">
        <f>AD29</f>
        <v>383.58337959059168</v>
      </c>
      <c r="AE30" s="150"/>
    </row>
    <row r="31" spans="1:31" x14ac:dyDescent="0.25">
      <c r="G31" s="1143"/>
      <c r="H31" s="1143"/>
      <c r="I31" s="1143"/>
      <c r="J31" s="1143"/>
      <c r="L31" s="385"/>
      <c r="M31" s="385"/>
      <c r="N31" s="1012"/>
      <c r="O31" s="1024">
        <f>(O29-O30)/O30</f>
        <v>0.14784018301982488</v>
      </c>
      <c r="Q31" s="381" t="s">
        <v>552</v>
      </c>
      <c r="R31" s="1027">
        <f>(25.77+25.32)/2</f>
        <v>25.545000000000002</v>
      </c>
      <c r="S31" s="1028">
        <v>11800</v>
      </c>
      <c r="T31" s="1029">
        <f>S31*R31</f>
        <v>301431</v>
      </c>
      <c r="U31" s="1035"/>
      <c r="W31" s="1036"/>
      <c r="X31" s="1012"/>
      <c r="Y31" s="1024">
        <f>(Y29-Y30)/Y30</f>
        <v>0.20986555124113673</v>
      </c>
      <c r="AC31" t="s">
        <v>407</v>
      </c>
      <c r="AD31" s="1031">
        <v>326.20550498394329</v>
      </c>
    </row>
    <row r="32" spans="1:31" x14ac:dyDescent="0.25">
      <c r="G32" s="1037"/>
      <c r="H32" s="1038"/>
      <c r="I32" s="1039"/>
      <c r="J32" s="1040"/>
      <c r="L32" s="385"/>
      <c r="M32" s="385"/>
      <c r="N32" s="385"/>
      <c r="O32" s="1040"/>
      <c r="Q32" s="381" t="s">
        <v>553</v>
      </c>
      <c r="R32" s="1041"/>
      <c r="S32" s="1042"/>
      <c r="T32" s="1029">
        <f>T30+T27</f>
        <v>1966049.1572333821</v>
      </c>
      <c r="U32" s="1035"/>
      <c r="V32" s="385"/>
      <c r="W32" s="385"/>
      <c r="X32" s="385"/>
      <c r="Y32" s="385"/>
      <c r="AA32" s="1043"/>
      <c r="AB32" s="1043"/>
      <c r="AC32" s="1012"/>
      <c r="AD32" s="1024">
        <f>(AD30-AD31)/AD31</f>
        <v>0.17589486912390606</v>
      </c>
    </row>
    <row r="33" spans="12:30" x14ac:dyDescent="0.25">
      <c r="L33" s="385"/>
      <c r="M33" s="385"/>
      <c r="N33" s="385"/>
      <c r="Q33" s="381" t="s">
        <v>9</v>
      </c>
      <c r="R33" s="984"/>
      <c r="S33" s="1044"/>
      <c r="T33" s="913">
        <f>T32+T31</f>
        <v>2267480.1572333821</v>
      </c>
      <c r="V33" s="385"/>
      <c r="W33" s="385"/>
      <c r="X33" s="385"/>
      <c r="Y33" s="1045"/>
      <c r="AA33" s="1043"/>
      <c r="AB33" s="1043"/>
      <c r="AC33" s="1043"/>
      <c r="AD33" s="1046"/>
    </row>
    <row r="34" spans="12:30" ht="15.75" thickBot="1" x14ac:dyDescent="0.3">
      <c r="Q34" s="1047" t="s">
        <v>554</v>
      </c>
      <c r="R34" s="1048"/>
      <c r="S34" s="1048"/>
      <c r="T34" s="1049">
        <f>T33/12</f>
        <v>188956.6797694485</v>
      </c>
      <c r="V34" s="385"/>
      <c r="W34" s="385"/>
      <c r="X34" s="385"/>
      <c r="AA34" s="1043"/>
      <c r="AB34" s="1043"/>
      <c r="AC34" s="1043"/>
    </row>
    <row r="35" spans="12:30" x14ac:dyDescent="0.25">
      <c r="Q35" s="1050"/>
      <c r="S35" t="s">
        <v>407</v>
      </c>
      <c r="T35" s="1014">
        <v>175629.15749691942</v>
      </c>
      <c r="U35" s="1051"/>
      <c r="V35" s="385"/>
      <c r="W35" s="385"/>
      <c r="X35" s="385"/>
    </row>
    <row r="36" spans="12:30" x14ac:dyDescent="0.25">
      <c r="Q36" s="385"/>
      <c r="R36" s="385"/>
      <c r="S36" s="1012"/>
      <c r="T36" s="1024">
        <f>(T34-T35)/T35</f>
        <v>7.5884451434340278E-2</v>
      </c>
      <c r="AB36" s="1052"/>
    </row>
    <row r="37" spans="12:30" x14ac:dyDescent="0.25">
      <c r="Q37" s="385"/>
      <c r="R37" s="385"/>
      <c r="S37" s="385"/>
      <c r="T37" s="385"/>
    </row>
    <row r="38" spans="12:30" x14ac:dyDescent="0.25">
      <c r="Q38" s="385"/>
      <c r="R38" s="385"/>
      <c r="S38" s="385"/>
      <c r="T38" s="385"/>
    </row>
    <row r="39" spans="12:30" x14ac:dyDescent="0.25">
      <c r="U39" s="1053"/>
    </row>
    <row r="40" spans="12:30" x14ac:dyDescent="0.25">
      <c r="U40" s="1053"/>
      <c r="V40" s="914"/>
    </row>
    <row r="50" spans="6:6" x14ac:dyDescent="0.25">
      <c r="F50" s="22"/>
    </row>
  </sheetData>
  <mergeCells count="25">
    <mergeCell ref="G31:J31"/>
    <mergeCell ref="A15:B15"/>
    <mergeCell ref="A16:B16"/>
    <mergeCell ref="A18:E18"/>
    <mergeCell ref="A19:B19"/>
    <mergeCell ref="A20:B20"/>
    <mergeCell ref="A21:B21"/>
    <mergeCell ref="A14:B14"/>
    <mergeCell ref="AA3:AD3"/>
    <mergeCell ref="A4:B4"/>
    <mergeCell ref="A5:B5"/>
    <mergeCell ref="A6:B6"/>
    <mergeCell ref="A7:B7"/>
    <mergeCell ref="A8:B8"/>
    <mergeCell ref="V3:Y3"/>
    <mergeCell ref="A9:B9"/>
    <mergeCell ref="A10:B10"/>
    <mergeCell ref="A11:B11"/>
    <mergeCell ref="A12:B12"/>
    <mergeCell ref="A13:B13"/>
    <mergeCell ref="A1:E1"/>
    <mergeCell ref="A2:B2"/>
    <mergeCell ref="G3:J3"/>
    <mergeCell ref="L3:O3"/>
    <mergeCell ref="Q3:T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85CE-0B29-4890-8D9B-303D1F45ABEC}">
  <dimension ref="A1:Q40"/>
  <sheetViews>
    <sheetView workbookViewId="0">
      <selection activeCell="E28" sqref="E28"/>
    </sheetView>
  </sheetViews>
  <sheetFormatPr defaultColWidth="8.85546875" defaultRowHeight="15.75" x14ac:dyDescent="0.25"/>
  <cols>
    <col min="1" max="1" width="2.140625" style="316" customWidth="1"/>
    <col min="2" max="2" width="40.85546875" style="316" customWidth="1"/>
    <col min="3" max="3" width="9.85546875" style="316" bestFit="1" customWidth="1"/>
    <col min="4" max="4" width="7.85546875" style="316" bestFit="1" customWidth="1"/>
    <col min="5" max="5" width="27.85546875" style="316" bestFit="1" customWidth="1"/>
    <col min="6" max="6" width="3.85546875" style="316" customWidth="1"/>
    <col min="7" max="7" width="26.140625" style="316" customWidth="1"/>
    <col min="8" max="8" width="9.85546875" style="316" bestFit="1" customWidth="1"/>
    <col min="9" max="9" width="11.28515625" style="316" bestFit="1" customWidth="1"/>
    <col min="10" max="10" width="15.140625" style="316" customWidth="1"/>
    <col min="11" max="11" width="11" style="316" customWidth="1"/>
    <col min="12" max="12" width="25" style="316" customWidth="1"/>
    <col min="13" max="14" width="9.85546875" style="316" bestFit="1" customWidth="1"/>
    <col min="15" max="15" width="12.140625" style="316" customWidth="1"/>
    <col min="16" max="16" width="9.28515625" style="316" bestFit="1" customWidth="1"/>
    <col min="17" max="16384" width="8.85546875" style="316"/>
  </cols>
  <sheetData>
    <row r="1" spans="1:16" ht="16.5" thickBot="1" x14ac:dyDescent="0.3">
      <c r="A1" s="489"/>
      <c r="B1" s="490"/>
      <c r="C1" s="491"/>
      <c r="D1" s="491"/>
      <c r="E1" s="492"/>
      <c r="F1" s="349"/>
      <c r="G1" s="493"/>
      <c r="H1" s="349"/>
      <c r="I1" s="349"/>
      <c r="J1" s="349"/>
      <c r="K1" s="349"/>
      <c r="L1" s="349"/>
      <c r="M1" s="349"/>
      <c r="N1" s="349"/>
      <c r="O1" s="349"/>
      <c r="P1" s="349"/>
    </row>
    <row r="2" spans="1:16" ht="12.6" customHeight="1" thickBot="1" x14ac:dyDescent="0.3">
      <c r="A2" s="489"/>
      <c r="B2" s="1156" t="s">
        <v>379</v>
      </c>
      <c r="C2" s="1157"/>
      <c r="D2" s="1157"/>
      <c r="E2" s="1158"/>
      <c r="F2" s="494"/>
      <c r="G2" s="1159" t="s">
        <v>480</v>
      </c>
      <c r="H2" s="1160"/>
      <c r="I2" s="1160"/>
      <c r="J2" s="1161"/>
      <c r="K2" s="495"/>
      <c r="L2" s="1159" t="s">
        <v>481</v>
      </c>
      <c r="M2" s="1160"/>
      <c r="N2" s="1160"/>
      <c r="O2" s="1161"/>
      <c r="P2" s="398"/>
    </row>
    <row r="3" spans="1:16" ht="32.25" thickBot="1" x14ac:dyDescent="0.3">
      <c r="A3" s="489"/>
      <c r="B3" s="1162" t="s">
        <v>382</v>
      </c>
      <c r="C3" s="1163"/>
      <c r="D3" s="1163"/>
      <c r="E3" s="838" t="s">
        <v>51</v>
      </c>
      <c r="F3" s="467"/>
      <c r="G3" s="318" t="s">
        <v>383</v>
      </c>
      <c r="H3" s="319">
        <v>1</v>
      </c>
      <c r="I3" s="320" t="s">
        <v>384</v>
      </c>
      <c r="J3" s="321">
        <v>365</v>
      </c>
      <c r="K3" s="496"/>
      <c r="L3" s="318" t="s">
        <v>383</v>
      </c>
      <c r="M3" s="319">
        <v>1</v>
      </c>
      <c r="N3" s="320" t="s">
        <v>384</v>
      </c>
      <c r="O3" s="321">
        <v>365</v>
      </c>
      <c r="P3" s="403"/>
    </row>
    <row r="4" spans="1:16" x14ac:dyDescent="0.25">
      <c r="A4" s="489"/>
      <c r="B4" s="334" t="s">
        <v>459</v>
      </c>
      <c r="C4" s="402">
        <f>'[21]Transition to Adulthood'!B9</f>
        <v>80606.448000000004</v>
      </c>
      <c r="D4" s="1154">
        <f>'[21]Child Home Based Rehab'!D4</f>
        <v>0</v>
      </c>
      <c r="E4" s="1155"/>
      <c r="F4" s="467"/>
      <c r="G4" s="322" t="s">
        <v>135</v>
      </c>
      <c r="H4" s="323" t="s">
        <v>7</v>
      </c>
      <c r="I4" s="323" t="s">
        <v>387</v>
      </c>
      <c r="J4" s="324" t="s">
        <v>76</v>
      </c>
      <c r="K4" s="323"/>
      <c r="L4" s="322" t="s">
        <v>135</v>
      </c>
      <c r="M4" s="323" t="s">
        <v>7</v>
      </c>
      <c r="N4" s="323" t="s">
        <v>387</v>
      </c>
      <c r="O4" s="324" t="s">
        <v>76</v>
      </c>
      <c r="P4" s="396"/>
    </row>
    <row r="5" spans="1:16" x14ac:dyDescent="0.25">
      <c r="A5" s="489"/>
      <c r="B5" s="334" t="s">
        <v>388</v>
      </c>
      <c r="C5" s="402">
        <f>'[21]Transition to Adulthood'!B5</f>
        <v>53206.566400000003</v>
      </c>
      <c r="D5" s="1154">
        <f>'[21]Child Home Based Rehab'!D5</f>
        <v>0</v>
      </c>
      <c r="E5" s="1155"/>
      <c r="F5" s="494"/>
      <c r="G5" s="325" t="s">
        <v>388</v>
      </c>
      <c r="H5" s="326">
        <f>C5</f>
        <v>53206.566400000003</v>
      </c>
      <c r="I5" s="329">
        <v>0.05</v>
      </c>
      <c r="J5" s="328">
        <f>I5*H5</f>
        <v>2660.3283200000005</v>
      </c>
      <c r="K5" s="497"/>
      <c r="L5" s="325" t="s">
        <v>388</v>
      </c>
      <c r="M5" s="326">
        <f>H5</f>
        <v>53206.566400000003</v>
      </c>
      <c r="N5" s="329">
        <v>0.05</v>
      </c>
      <c r="O5" s="408">
        <f>N5*M5</f>
        <v>2660.3283200000005</v>
      </c>
      <c r="P5" s="410"/>
    </row>
    <row r="6" spans="1:16" ht="31.5" x14ac:dyDescent="0.25">
      <c r="A6" s="489"/>
      <c r="B6" s="409" t="s">
        <v>390</v>
      </c>
      <c r="C6" s="402">
        <f>'[21]Transition to Adulthood'!B6</f>
        <v>64330.864000000001</v>
      </c>
      <c r="D6" s="1154">
        <f>'[21]Child Home Based Rehab'!D6</f>
        <v>0</v>
      </c>
      <c r="E6" s="1155"/>
      <c r="F6" s="471"/>
      <c r="G6" s="413" t="s">
        <v>437</v>
      </c>
      <c r="H6" s="326">
        <f>C6</f>
        <v>64330.864000000001</v>
      </c>
      <c r="I6" s="329">
        <v>0.35</v>
      </c>
      <c r="J6" s="328">
        <f t="shared" ref="J6:J10" si="0">I6*H6</f>
        <v>22515.8024</v>
      </c>
      <c r="K6" s="497"/>
      <c r="L6" s="413" t="s">
        <v>437</v>
      </c>
      <c r="M6" s="326">
        <f t="shared" ref="M6:M10" si="1">H6</f>
        <v>64330.864000000001</v>
      </c>
      <c r="N6" s="329">
        <v>0.55000000000000004</v>
      </c>
      <c r="O6" s="408">
        <f t="shared" ref="O6:O10" si="2">N6*M6</f>
        <v>35381.975200000001</v>
      </c>
      <c r="P6" s="412"/>
    </row>
    <row r="7" spans="1:16" x14ac:dyDescent="0.25">
      <c r="A7" s="489"/>
      <c r="B7" s="334" t="s">
        <v>392</v>
      </c>
      <c r="C7" s="402">
        <f>'[21]Transition to Adulthood'!B7</f>
        <v>41600</v>
      </c>
      <c r="D7" s="1154">
        <f>'[21]Child Home Based Rehab'!D7</f>
        <v>0</v>
      </c>
      <c r="E7" s="1155"/>
      <c r="F7" s="473"/>
      <c r="G7" s="325" t="s">
        <v>392</v>
      </c>
      <c r="H7" s="326">
        <f>C7</f>
        <v>41600</v>
      </c>
      <c r="I7" s="329">
        <v>0.1</v>
      </c>
      <c r="J7" s="328">
        <f t="shared" si="0"/>
        <v>4160</v>
      </c>
      <c r="K7" s="497"/>
      <c r="L7" s="325" t="s">
        <v>392</v>
      </c>
      <c r="M7" s="326">
        <f t="shared" si="1"/>
        <v>41600</v>
      </c>
      <c r="N7" s="329">
        <v>9.5000000000000001E-2</v>
      </c>
      <c r="O7" s="408">
        <f t="shared" si="2"/>
        <v>3952</v>
      </c>
      <c r="P7" s="412"/>
    </row>
    <row r="8" spans="1:16" x14ac:dyDescent="0.25">
      <c r="A8" s="489"/>
      <c r="B8" s="334" t="s">
        <v>394</v>
      </c>
      <c r="C8" s="414">
        <f>'[21]Transition to Adulthood'!B8</f>
        <v>79415.232000000018</v>
      </c>
      <c r="D8" s="1154">
        <f>'[21]Child Home Based Rehab'!D8</f>
        <v>0</v>
      </c>
      <c r="E8" s="1155"/>
      <c r="F8" s="473"/>
      <c r="G8" s="325" t="s">
        <v>394</v>
      </c>
      <c r="H8" s="326">
        <f>C8</f>
        <v>79415.232000000018</v>
      </c>
      <c r="I8" s="417">
        <v>0.1</v>
      </c>
      <c r="J8" s="328">
        <f t="shared" si="0"/>
        <v>7941.5232000000024</v>
      </c>
      <c r="K8" s="497"/>
      <c r="L8" s="325" t="s">
        <v>394</v>
      </c>
      <c r="M8" s="326">
        <f t="shared" si="1"/>
        <v>79415.232000000018</v>
      </c>
      <c r="N8" s="417">
        <v>9.5000000000000001E-2</v>
      </c>
      <c r="O8" s="408">
        <f t="shared" si="2"/>
        <v>7544.4470400000018</v>
      </c>
      <c r="P8" s="412"/>
    </row>
    <row r="9" spans="1:16" ht="16.5" thickBot="1" x14ac:dyDescent="0.3">
      <c r="A9" s="489"/>
      <c r="B9" s="334" t="s">
        <v>461</v>
      </c>
      <c r="C9" s="402">
        <f>'[21]Transition to Adulthood'!B4</f>
        <v>58616.063999999998</v>
      </c>
      <c r="D9" s="1154">
        <f>'[21]Child Home Based Rehab'!D9</f>
        <v>0</v>
      </c>
      <c r="E9" s="1155"/>
      <c r="F9" s="473"/>
      <c r="G9" s="325" t="s">
        <v>459</v>
      </c>
      <c r="H9" s="326">
        <f>C4</f>
        <v>80606.448000000004</v>
      </c>
      <c r="I9" s="417">
        <v>0.05</v>
      </c>
      <c r="J9" s="328">
        <f t="shared" si="0"/>
        <v>4030.3224000000005</v>
      </c>
      <c r="K9" s="497"/>
      <c r="L9" s="325" t="s">
        <v>459</v>
      </c>
      <c r="M9" s="326">
        <f t="shared" si="1"/>
        <v>80606.448000000004</v>
      </c>
      <c r="N9" s="417">
        <v>0.12</v>
      </c>
      <c r="O9" s="408">
        <f t="shared" si="2"/>
        <v>9672.77376</v>
      </c>
      <c r="P9" s="412"/>
    </row>
    <row r="10" spans="1:16" ht="16.5" thickBot="1" x14ac:dyDescent="0.3">
      <c r="A10" s="489"/>
      <c r="B10" s="1167" t="s">
        <v>438</v>
      </c>
      <c r="C10" s="1168"/>
      <c r="D10" s="1168"/>
      <c r="E10" s="839"/>
      <c r="F10" s="473"/>
      <c r="G10" s="325" t="s">
        <v>461</v>
      </c>
      <c r="H10" s="326">
        <f>C9</f>
        <v>58616.063999999998</v>
      </c>
      <c r="I10" s="417">
        <v>0.05</v>
      </c>
      <c r="J10" s="328">
        <f t="shared" si="0"/>
        <v>2930.8032000000003</v>
      </c>
      <c r="K10" s="498"/>
      <c r="L10" s="325" t="s">
        <v>461</v>
      </c>
      <c r="M10" s="326">
        <f t="shared" si="1"/>
        <v>58616.063999999998</v>
      </c>
      <c r="N10" s="417">
        <v>0.05</v>
      </c>
      <c r="O10" s="408">
        <f t="shared" si="2"/>
        <v>2930.8032000000003</v>
      </c>
      <c r="P10" s="416"/>
    </row>
    <row r="11" spans="1:16" ht="14.45" customHeight="1" thickBot="1" x14ac:dyDescent="0.3">
      <c r="A11" s="489"/>
      <c r="B11" s="840" t="s">
        <v>439</v>
      </c>
      <c r="C11" s="337" t="s">
        <v>482</v>
      </c>
      <c r="D11" s="337" t="s">
        <v>483</v>
      </c>
      <c r="E11" s="631"/>
      <c r="F11" s="396"/>
      <c r="G11" s="330" t="s">
        <v>10</v>
      </c>
      <c r="H11" s="331"/>
      <c r="I11" s="332">
        <f>SUM(I5:I10)</f>
        <v>0.70000000000000007</v>
      </c>
      <c r="J11" s="333">
        <f>SUM(J5:J10)</f>
        <v>44238.779520000004</v>
      </c>
      <c r="K11" s="499"/>
      <c r="L11" s="330" t="s">
        <v>10</v>
      </c>
      <c r="M11" s="331"/>
      <c r="N11" s="332">
        <f>SUM(N5:N10)</f>
        <v>0.96000000000000008</v>
      </c>
      <c r="O11" s="422">
        <f>SUM(O5:O10)</f>
        <v>62142.327519999999</v>
      </c>
      <c r="P11" s="412"/>
    </row>
    <row r="12" spans="1:16" x14ac:dyDescent="0.25">
      <c r="A12" s="489"/>
      <c r="B12" s="361" t="s">
        <v>484</v>
      </c>
      <c r="C12" s="841">
        <v>0.05</v>
      </c>
      <c r="D12" s="424">
        <v>0.12</v>
      </c>
      <c r="E12" s="632" t="s">
        <v>404</v>
      </c>
      <c r="F12" s="500"/>
      <c r="G12" s="336" t="s">
        <v>11</v>
      </c>
      <c r="H12" s="337"/>
      <c r="I12" s="338" t="str">
        <f>D19</f>
        <v>M2022 Benchmark Ch.257</v>
      </c>
      <c r="J12" s="339" t="e">
        <f>J11*I12</f>
        <v>#VALUE!</v>
      </c>
      <c r="K12" s="498"/>
      <c r="L12" s="336" t="s">
        <v>11</v>
      </c>
      <c r="M12" s="337"/>
      <c r="N12" s="338" t="str">
        <f>I12</f>
        <v>M2022 Benchmark Ch.257</v>
      </c>
      <c r="O12" s="426" t="e">
        <f>N12*O11</f>
        <v>#VALUE!</v>
      </c>
      <c r="P12" s="427"/>
    </row>
    <row r="13" spans="1:16" ht="16.5" thickBot="1" x14ac:dyDescent="0.3">
      <c r="A13" s="489"/>
      <c r="B13" s="842" t="s">
        <v>388</v>
      </c>
      <c r="C13" s="742">
        <v>0.05</v>
      </c>
      <c r="D13" s="424">
        <v>0.05</v>
      </c>
      <c r="E13" s="632" t="s">
        <v>404</v>
      </c>
      <c r="F13" s="362"/>
      <c r="G13" s="340" t="s">
        <v>402</v>
      </c>
      <c r="H13" s="341"/>
      <c r="I13" s="341"/>
      <c r="J13" s="342" t="e">
        <f>J12+J11</f>
        <v>#VALUE!</v>
      </c>
      <c r="K13" s="498"/>
      <c r="L13" s="340" t="s">
        <v>402</v>
      </c>
      <c r="M13" s="341"/>
      <c r="N13" s="341"/>
      <c r="O13" s="428" t="e">
        <f>O12+O11</f>
        <v>#VALUE!</v>
      </c>
      <c r="P13" s="396"/>
    </row>
    <row r="14" spans="1:16" ht="16.5" thickTop="1" x14ac:dyDescent="0.25">
      <c r="A14" s="489"/>
      <c r="B14" s="843" t="s">
        <v>390</v>
      </c>
      <c r="C14" s="844">
        <v>0.35</v>
      </c>
      <c r="D14" s="424">
        <v>0.55000000000000004</v>
      </c>
      <c r="E14" s="632" t="s">
        <v>404</v>
      </c>
      <c r="F14" s="362"/>
      <c r="G14" s="334" t="str">
        <f>B22</f>
        <v>Misc FC Specific expenses</v>
      </c>
      <c r="H14" s="343"/>
      <c r="I14" s="343">
        <f>D22</f>
        <v>1.4999999999999999E-2</v>
      </c>
      <c r="J14" s="346" t="e">
        <f>J13*I14</f>
        <v>#VALUE!</v>
      </c>
      <c r="K14" s="501"/>
      <c r="L14" s="334" t="str">
        <f>B22</f>
        <v>Misc FC Specific expenses</v>
      </c>
      <c r="M14" s="343"/>
      <c r="N14" s="343">
        <f>D22</f>
        <v>1.4999999999999999E-2</v>
      </c>
      <c r="O14" s="346" t="e">
        <f>O13*N14</f>
        <v>#VALUE!</v>
      </c>
      <c r="P14" s="425"/>
    </row>
    <row r="15" spans="1:16" x14ac:dyDescent="0.25">
      <c r="A15" s="489"/>
      <c r="B15" s="842" t="s">
        <v>392</v>
      </c>
      <c r="C15" s="844">
        <v>0.1</v>
      </c>
      <c r="D15" s="424">
        <v>9.5000000000000001E-2</v>
      </c>
      <c r="E15" s="632" t="s">
        <v>404</v>
      </c>
      <c r="F15" s="362"/>
      <c r="G15" s="334" t="s">
        <v>222</v>
      </c>
      <c r="I15" s="343" t="str">
        <f>D20</f>
        <v>DCF defined plus appicable CAFs</v>
      </c>
      <c r="J15" s="344" t="e">
        <f>I15*J13</f>
        <v>#VALUE!</v>
      </c>
      <c r="K15" s="501"/>
      <c r="L15" s="334" t="s">
        <v>222</v>
      </c>
      <c r="N15" s="343" t="str">
        <f>I15</f>
        <v>DCF defined plus appicable CAFs</v>
      </c>
      <c r="O15" s="344" t="e">
        <f>O13*N15</f>
        <v>#VALUE!</v>
      </c>
      <c r="P15" s="396"/>
    </row>
    <row r="16" spans="1:16" x14ac:dyDescent="0.25">
      <c r="A16" s="489"/>
      <c r="B16" s="842" t="s">
        <v>394</v>
      </c>
      <c r="C16" s="844">
        <v>0.1</v>
      </c>
      <c r="D16" s="424">
        <v>9.5000000000000001E-2</v>
      </c>
      <c r="E16" s="632" t="s">
        <v>404</v>
      </c>
      <c r="F16" s="362"/>
      <c r="G16" s="334" t="s">
        <v>409</v>
      </c>
      <c r="I16" s="429" t="str">
        <f>D21</f>
        <v xml:space="preserve">DCF defined </v>
      </c>
      <c r="J16" s="344" t="e">
        <f>I16*J3</f>
        <v>#VALUE!</v>
      </c>
      <c r="K16" s="498"/>
      <c r="L16" s="334" t="s">
        <v>485</v>
      </c>
      <c r="N16" s="429"/>
      <c r="O16" s="344">
        <v>10000</v>
      </c>
      <c r="P16" s="412"/>
    </row>
    <row r="17" spans="1:17" ht="16.5" thickBot="1" x14ac:dyDescent="0.3">
      <c r="A17" s="489"/>
      <c r="B17" s="842" t="s">
        <v>461</v>
      </c>
      <c r="C17" s="844">
        <v>0.05</v>
      </c>
      <c r="D17" s="424">
        <v>0.05</v>
      </c>
      <c r="E17" s="632" t="s">
        <v>404</v>
      </c>
      <c r="F17" s="362"/>
      <c r="G17" s="351" t="s">
        <v>412</v>
      </c>
      <c r="H17" s="352"/>
      <c r="I17" s="352"/>
      <c r="J17" s="353" t="e">
        <f>J16+J16+J13+J14</f>
        <v>#VALUE!</v>
      </c>
      <c r="K17" s="502"/>
      <c r="L17" s="334" t="s">
        <v>409</v>
      </c>
      <c r="N17" s="429" t="str">
        <f>I16</f>
        <v xml:space="preserve">DCF defined </v>
      </c>
      <c r="O17" s="344" t="e">
        <f>N17*O3</f>
        <v>#VALUE!</v>
      </c>
      <c r="P17" s="427"/>
    </row>
    <row r="18" spans="1:17" ht="17.25" thickTop="1" thickBot="1" x14ac:dyDescent="0.3">
      <c r="A18" s="489"/>
      <c r="B18" s="1167" t="s">
        <v>396</v>
      </c>
      <c r="C18" s="1168"/>
      <c r="D18" s="1168"/>
      <c r="E18" s="839"/>
      <c r="F18" s="362"/>
      <c r="G18" s="334" t="str">
        <f>B23</f>
        <v>CAF Rate</v>
      </c>
      <c r="H18" s="355"/>
      <c r="I18" s="343">
        <f>D23</f>
        <v>2.5758086673353865E-2</v>
      </c>
      <c r="J18" s="503" t="e">
        <f>I18*(J13+J16)</f>
        <v>#VALUE!</v>
      </c>
      <c r="K18" s="360"/>
      <c r="L18" s="504" t="s">
        <v>412</v>
      </c>
      <c r="M18" s="419"/>
      <c r="N18" s="419"/>
      <c r="O18" s="505" t="e">
        <f>O17+O16+O15+O13+O14</f>
        <v>#VALUE!</v>
      </c>
      <c r="P18" s="427"/>
    </row>
    <row r="19" spans="1:17" ht="16.5" thickBot="1" x14ac:dyDescent="0.3">
      <c r="A19" s="489"/>
      <c r="B19" s="334" t="s">
        <v>52</v>
      </c>
      <c r="C19" s="355"/>
      <c r="D19" s="355" t="str">
        <f>'[21]Child Home Based Rehab'!C19</f>
        <v>M2022 Benchmark Ch.257</v>
      </c>
      <c r="E19" s="640" t="s">
        <v>397</v>
      </c>
      <c r="F19" s="362"/>
      <c r="G19" s="357" t="s">
        <v>414</v>
      </c>
      <c r="H19" s="358"/>
      <c r="I19" s="358"/>
      <c r="J19" s="359" t="e">
        <f>(J18+J17)/J3</f>
        <v>#VALUE!</v>
      </c>
      <c r="L19" s="334" t="str">
        <f>G18</f>
        <v>CAF Rate</v>
      </c>
      <c r="M19" s="434"/>
      <c r="N19" s="343">
        <f>I18</f>
        <v>2.5758086673353865E-2</v>
      </c>
      <c r="O19" s="435" t="e">
        <f>(O13+O16+O17)*N19</f>
        <v>#VALUE!</v>
      </c>
      <c r="P19" s="442"/>
      <c r="Q19" s="439"/>
    </row>
    <row r="20" spans="1:17" ht="16.5" thickBot="1" x14ac:dyDescent="0.3">
      <c r="A20" s="489"/>
      <c r="B20" s="334" t="s">
        <v>398</v>
      </c>
      <c r="C20" s="636"/>
      <c r="D20" s="821" t="str">
        <f>'[21]Child Home Based Rehab'!C20</f>
        <v>DCF defined plus appicable CAFs</v>
      </c>
      <c r="E20" s="640" t="s">
        <v>397</v>
      </c>
      <c r="F20" s="362"/>
      <c r="G20" s="442"/>
      <c r="H20" s="442"/>
      <c r="I20" s="437" t="s">
        <v>407</v>
      </c>
      <c r="J20" s="438">
        <v>137.4426051803141</v>
      </c>
      <c r="K20" s="439" t="e">
        <f>(J19-J20)/J20</f>
        <v>#VALUE!</v>
      </c>
      <c r="L20" s="357" t="s">
        <v>414</v>
      </c>
      <c r="M20" s="358"/>
      <c r="N20" s="358"/>
      <c r="O20" s="359" t="e">
        <f>(O19+O18)/O3</f>
        <v>#VALUE!</v>
      </c>
      <c r="P20" s="412"/>
    </row>
    <row r="21" spans="1:17" ht="31.5" x14ac:dyDescent="0.25">
      <c r="A21" s="489"/>
      <c r="B21" s="639" t="s">
        <v>453</v>
      </c>
      <c r="C21" s="469"/>
      <c r="D21" s="845" t="str">
        <f>'[21]Child Home Based Rehab'!C21</f>
        <v xml:space="preserve">DCF defined </v>
      </c>
      <c r="E21" s="640" t="s">
        <v>466</v>
      </c>
      <c r="F21" s="362"/>
      <c r="G21" s="473"/>
      <c r="H21" s="473"/>
      <c r="I21" s="473"/>
      <c r="J21" s="473"/>
      <c r="M21" s="343"/>
      <c r="N21" s="437" t="s">
        <v>407</v>
      </c>
      <c r="O21" s="438">
        <v>236.09106676888925</v>
      </c>
      <c r="P21" s="439" t="e">
        <f>(O20-O21)/O21</f>
        <v>#VALUE!</v>
      </c>
    </row>
    <row r="22" spans="1:17" ht="16.5" thickBot="1" x14ac:dyDescent="0.3">
      <c r="A22" s="489"/>
      <c r="B22" s="699" t="str">
        <f>'[21]Emerg Homes &amp; Exploited Youth'!A21</f>
        <v>Misc FC Specific expenses</v>
      </c>
      <c r="C22" s="477"/>
      <c r="D22" s="846">
        <f>'[21]Emerg Homes &amp; Exploited Youth'!C21</f>
        <v>1.4999999999999999E-2</v>
      </c>
      <c r="E22" s="697" t="str">
        <f>E15</f>
        <v xml:space="preserve">DCF defined </v>
      </c>
      <c r="F22" s="362"/>
      <c r="G22" s="427"/>
      <c r="H22" s="427"/>
      <c r="I22" s="427"/>
      <c r="J22" s="506"/>
      <c r="L22" s="412"/>
      <c r="M22" s="412"/>
      <c r="N22" s="412"/>
      <c r="O22" s="507"/>
      <c r="P22" s="412"/>
    </row>
    <row r="23" spans="1:17" ht="16.5" thickBot="1" x14ac:dyDescent="0.3">
      <c r="A23" s="489"/>
      <c r="B23" s="347" t="s">
        <v>413</v>
      </c>
      <c r="C23" s="847"/>
      <c r="D23" s="848">
        <f>'[21]IFC &amp; Enhanced FC'!C14</f>
        <v>2.5758086673353865E-2</v>
      </c>
      <c r="E23" s="849" t="s">
        <v>455</v>
      </c>
      <c r="F23" s="509"/>
      <c r="G23" s="1164" t="s">
        <v>486</v>
      </c>
      <c r="H23" s="1165"/>
      <c r="I23" s="1165"/>
      <c r="J23" s="1166"/>
      <c r="K23" s="362"/>
      <c r="L23" s="1164" t="s">
        <v>487</v>
      </c>
      <c r="M23" s="1165"/>
      <c r="N23" s="1165"/>
      <c r="O23" s="1166"/>
      <c r="P23" s="396"/>
    </row>
    <row r="24" spans="1:17" ht="32.25" thickBot="1" x14ac:dyDescent="0.3">
      <c r="A24" s="489"/>
      <c r="F24" s="471"/>
      <c r="G24" s="452"/>
      <c r="H24" s="850" t="s">
        <v>417</v>
      </c>
      <c r="I24" s="851" t="s">
        <v>418</v>
      </c>
      <c r="J24" s="510"/>
      <c r="K24" s="362"/>
      <c r="L24" s="452"/>
      <c r="M24" s="850" t="s">
        <v>417</v>
      </c>
      <c r="N24" s="851" t="s">
        <v>418</v>
      </c>
      <c r="O24" s="510"/>
      <c r="P24" s="447"/>
    </row>
    <row r="25" spans="1:17" ht="19.5" customHeight="1" x14ac:dyDescent="0.25">
      <c r="A25" s="489"/>
      <c r="F25" s="511"/>
      <c r="G25" s="454" t="s">
        <v>465</v>
      </c>
      <c r="H25" s="799">
        <v>30.72</v>
      </c>
      <c r="I25" s="455">
        <f>'[21]IFC &amp; Enhanced FC'!C16</f>
        <v>36.79</v>
      </c>
      <c r="J25" s="510"/>
      <c r="K25" s="362"/>
      <c r="L25" s="454" t="s">
        <v>465</v>
      </c>
      <c r="M25" s="799">
        <v>30.72</v>
      </c>
      <c r="N25" s="455">
        <f>I25</f>
        <v>36.79</v>
      </c>
      <c r="O25" s="510"/>
      <c r="P25" s="468"/>
    </row>
    <row r="26" spans="1:17" ht="16.5" thickBot="1" x14ac:dyDescent="0.3">
      <c r="A26" s="489"/>
      <c r="F26" s="512"/>
      <c r="G26" s="459" t="s">
        <v>421</v>
      </c>
      <c r="H26" s="514">
        <v>86.779134132565744</v>
      </c>
      <c r="I26" s="460">
        <f>H26*(D23+1)</f>
        <v>89.014398590990965</v>
      </c>
      <c r="J26" s="510"/>
      <c r="K26" s="362"/>
      <c r="L26" s="459" t="s">
        <v>421</v>
      </c>
      <c r="M26" s="514">
        <v>86.779134132565744</v>
      </c>
      <c r="N26" s="460">
        <f>M26*(D23+1)</f>
        <v>89.014398590990965</v>
      </c>
      <c r="O26" s="510"/>
      <c r="P26" s="396"/>
    </row>
    <row r="27" spans="1:17" ht="16.5" thickBot="1" x14ac:dyDescent="0.3">
      <c r="A27" s="489"/>
      <c r="F27" s="513"/>
      <c r="G27" s="459"/>
      <c r="H27" s="514">
        <f>H26+H25</f>
        <v>117.49913413256574</v>
      </c>
      <c r="I27" s="515">
        <f>I26+I25</f>
        <v>125.80439859099096</v>
      </c>
      <c r="J27" s="516">
        <f>(I27-H27)/H27</f>
        <v>7.0683622647422978E-2</v>
      </c>
      <c r="K27" s="362"/>
      <c r="L27" s="459"/>
      <c r="M27" s="514">
        <f>M26+M25</f>
        <v>117.49913413256574</v>
      </c>
      <c r="N27" s="515">
        <f>N26+N25</f>
        <v>125.80439859099096</v>
      </c>
      <c r="O27" s="516">
        <f>(N27-M27)/M27</f>
        <v>7.0683622647422978E-2</v>
      </c>
      <c r="P27" s="474"/>
    </row>
    <row r="28" spans="1:17" x14ac:dyDescent="0.25">
      <c r="A28" s="489"/>
      <c r="F28" s="517"/>
      <c r="G28" s="477"/>
      <c r="H28" s="362"/>
      <c r="I28" s="362"/>
      <c r="J28" s="362"/>
      <c r="K28" s="362"/>
      <c r="L28" s="477"/>
      <c r="M28" s="362"/>
      <c r="N28" s="362"/>
      <c r="O28" s="362"/>
      <c r="P28" s="487"/>
    </row>
    <row r="29" spans="1:17" x14ac:dyDescent="0.25">
      <c r="A29" s="489"/>
      <c r="F29" s="512"/>
      <c r="G29" s="349"/>
      <c r="H29" s="349"/>
      <c r="I29" s="349"/>
      <c r="J29" s="349"/>
      <c r="K29" s="362"/>
      <c r="L29" s="349"/>
      <c r="M29" s="349"/>
      <c r="N29" s="349"/>
      <c r="O29" s="349"/>
      <c r="P29" s="487"/>
    </row>
    <row r="30" spans="1:17" x14ac:dyDescent="0.25">
      <c r="A30" s="489"/>
      <c r="F30" s="518"/>
      <c r="G30" s="470"/>
      <c r="H30" s="471"/>
      <c r="I30" s="471"/>
      <c r="J30" s="473"/>
      <c r="K30" s="362"/>
      <c r="L30" s="470"/>
      <c r="M30" s="471"/>
      <c r="N30" s="471"/>
      <c r="O30" s="473"/>
      <c r="P30" s="487"/>
    </row>
    <row r="31" spans="1:17" x14ac:dyDescent="0.25">
      <c r="A31" s="489"/>
      <c r="F31" s="512"/>
      <c r="G31" s="477"/>
      <c r="H31" s="478"/>
      <c r="I31" s="479"/>
      <c r="J31" s="519"/>
      <c r="K31" s="362"/>
      <c r="L31" s="477"/>
      <c r="M31" s="482"/>
      <c r="N31" s="479"/>
      <c r="O31" s="362"/>
      <c r="P31" s="520"/>
    </row>
    <row r="32" spans="1:17" x14ac:dyDescent="0.25">
      <c r="A32" s="489"/>
      <c r="F32" s="521"/>
      <c r="G32" s="477"/>
      <c r="H32" s="479"/>
      <c r="I32" s="482"/>
      <c r="J32" s="362"/>
      <c r="K32" s="362"/>
      <c r="L32" s="477"/>
      <c r="M32" s="482"/>
      <c r="N32" s="482"/>
      <c r="O32" s="362"/>
      <c r="P32" s="522"/>
    </row>
    <row r="33" spans="1:16" x14ac:dyDescent="0.25">
      <c r="A33" s="489"/>
      <c r="F33" s="362"/>
      <c r="G33" s="483"/>
      <c r="H33" s="484"/>
      <c r="I33" s="484"/>
      <c r="J33" s="485"/>
      <c r="K33" s="362"/>
      <c r="L33" s="483"/>
      <c r="M33" s="484"/>
      <c r="N33" s="484"/>
      <c r="O33" s="485"/>
      <c r="P33" s="468"/>
    </row>
    <row r="34" spans="1:16" x14ac:dyDescent="0.25">
      <c r="A34" s="489"/>
      <c r="F34" s="362"/>
      <c r="G34" s="523"/>
      <c r="H34" s="523"/>
      <c r="I34" s="523"/>
      <c r="J34" s="362"/>
      <c r="K34" s="362"/>
      <c r="L34" s="523"/>
      <c r="M34" s="523"/>
      <c r="N34" s="523"/>
      <c r="O34" s="523"/>
      <c r="P34" s="468"/>
    </row>
    <row r="35" spans="1:16" x14ac:dyDescent="0.25">
      <c r="A35" s="489"/>
      <c r="G35" s="362"/>
      <c r="H35" s="362"/>
      <c r="I35" s="362"/>
      <c r="J35" s="362"/>
      <c r="K35" s="362"/>
      <c r="L35" s="523"/>
      <c r="M35" s="523"/>
      <c r="N35" s="523"/>
      <c r="O35" s="523"/>
      <c r="P35" s="468"/>
    </row>
    <row r="36" spans="1:16" x14ac:dyDescent="0.25">
      <c r="A36" s="489"/>
      <c r="G36" s="362"/>
      <c r="H36" s="362"/>
      <c r="I36" s="362"/>
      <c r="J36" s="362"/>
      <c r="K36" s="362"/>
      <c r="L36" s="362"/>
      <c r="M36" s="362"/>
      <c r="N36" s="362"/>
      <c r="O36" s="362"/>
    </row>
    <row r="37" spans="1:16" x14ac:dyDescent="0.25">
      <c r="A37" s="489"/>
      <c r="G37" s="362"/>
      <c r="H37" s="362"/>
      <c r="I37" s="362"/>
      <c r="J37" s="362"/>
      <c r="K37" s="362"/>
      <c r="L37" s="473"/>
      <c r="M37" s="362"/>
      <c r="N37" s="362"/>
      <c r="O37" s="362"/>
    </row>
    <row r="38" spans="1:16" x14ac:dyDescent="0.25">
      <c r="G38" s="362"/>
      <c r="H38" s="362"/>
      <c r="I38" s="362"/>
      <c r="J38" s="362"/>
      <c r="K38" s="362"/>
      <c r="L38" s="362"/>
      <c r="M38" s="362"/>
      <c r="N38" s="362"/>
      <c r="O38" s="362"/>
    </row>
    <row r="39" spans="1:16" x14ac:dyDescent="0.25">
      <c r="G39" s="362"/>
      <c r="H39" s="362"/>
      <c r="I39" s="362"/>
      <c r="J39" s="362"/>
      <c r="K39" s="362"/>
      <c r="L39" s="362"/>
      <c r="M39" s="362"/>
      <c r="N39" s="362"/>
      <c r="O39" s="362"/>
    </row>
    <row r="40" spans="1:16" x14ac:dyDescent="0.25">
      <c r="K40" s="362"/>
      <c r="L40" s="362"/>
      <c r="M40" s="362"/>
      <c r="N40" s="362"/>
      <c r="O40" s="362"/>
    </row>
  </sheetData>
  <mergeCells count="14">
    <mergeCell ref="G23:J23"/>
    <mergeCell ref="L23:O23"/>
    <mergeCell ref="D6:E6"/>
    <mergeCell ref="D7:E7"/>
    <mergeCell ref="D8:E8"/>
    <mergeCell ref="D9:E9"/>
    <mergeCell ref="B10:D10"/>
    <mergeCell ref="B18:D18"/>
    <mergeCell ref="D5:E5"/>
    <mergeCell ref="B2:E2"/>
    <mergeCell ref="G2:J2"/>
    <mergeCell ref="L2:O2"/>
    <mergeCell ref="B3:D3"/>
    <mergeCell ref="D4:E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6AE1-5C69-4DF3-B066-5F3D9EF927E9}">
  <dimension ref="B1:P29"/>
  <sheetViews>
    <sheetView zoomScale="80" zoomScaleNormal="80" workbookViewId="0">
      <selection activeCell="N23" sqref="N23"/>
    </sheetView>
  </sheetViews>
  <sheetFormatPr defaultColWidth="8.85546875" defaultRowHeight="18.75" x14ac:dyDescent="0.3"/>
  <cols>
    <col min="1" max="1" width="8.85546875" style="488"/>
    <col min="2" max="2" width="34.140625" style="488" customWidth="1"/>
    <col min="3" max="3" width="14.5703125" style="488" customWidth="1"/>
    <col min="4" max="4" width="45.5703125" style="488" customWidth="1"/>
    <col min="5" max="6" width="8.85546875" style="488"/>
    <col min="7" max="7" width="33.85546875" style="488" customWidth="1"/>
    <col min="8" max="10" width="17" style="488" customWidth="1"/>
    <col min="11" max="16384" width="8.85546875" style="488"/>
  </cols>
  <sheetData>
    <row r="1" spans="2:16" ht="19.5" thickBot="1" x14ac:dyDescent="0.35"/>
    <row r="2" spans="2:16" ht="34.35" customHeight="1" thickBot="1" x14ac:dyDescent="0.35">
      <c r="B2" s="1172" t="s">
        <v>379</v>
      </c>
      <c r="C2" s="1173"/>
      <c r="D2" s="1174"/>
      <c r="E2" s="453"/>
      <c r="F2" s="316"/>
      <c r="G2" s="1175" t="s">
        <v>476</v>
      </c>
      <c r="H2" s="1176"/>
      <c r="I2" s="1176"/>
      <c r="J2" s="1177"/>
      <c r="K2" s="316"/>
      <c r="L2" s="316"/>
      <c r="M2" s="316"/>
      <c r="N2" s="316"/>
      <c r="O2" s="316"/>
      <c r="P2" s="316"/>
    </row>
    <row r="3" spans="2:16" x14ac:dyDescent="0.3">
      <c r="B3" s="1178" t="s">
        <v>382</v>
      </c>
      <c r="C3" s="1179"/>
      <c r="D3" s="709" t="s">
        <v>51</v>
      </c>
      <c r="E3" s="453"/>
      <c r="F3" s="316"/>
      <c r="G3" s="318" t="s">
        <v>383</v>
      </c>
      <c r="H3" s="319">
        <v>8</v>
      </c>
      <c r="I3" s="320" t="s">
        <v>384</v>
      </c>
      <c r="J3" s="321">
        <v>2920</v>
      </c>
      <c r="K3" s="316"/>
      <c r="L3" s="316"/>
      <c r="M3" s="316"/>
      <c r="N3" s="316"/>
      <c r="O3" s="316"/>
      <c r="P3" s="316"/>
    </row>
    <row r="4" spans="2:16" x14ac:dyDescent="0.3">
      <c r="B4" s="334" t="s">
        <v>385</v>
      </c>
      <c r="C4" s="414">
        <f>'[21]Transition to Adulthood'!B4</f>
        <v>58616.063999999998</v>
      </c>
      <c r="D4" s="626" t="s">
        <v>458</v>
      </c>
      <c r="E4" s="500"/>
      <c r="F4" s="316"/>
      <c r="G4" s="322" t="s">
        <v>135</v>
      </c>
      <c r="H4" s="323" t="s">
        <v>7</v>
      </c>
      <c r="I4" s="323" t="s">
        <v>387</v>
      </c>
      <c r="J4" s="324" t="s">
        <v>76</v>
      </c>
      <c r="K4" s="316"/>
      <c r="L4" s="316"/>
      <c r="M4" s="316"/>
      <c r="N4" s="316"/>
      <c r="O4" s="316"/>
      <c r="P4" s="316"/>
    </row>
    <row r="5" spans="2:16" x14ac:dyDescent="0.3">
      <c r="B5" s="334" t="s">
        <v>388</v>
      </c>
      <c r="C5" s="414">
        <f>'[21]Transition to Adulthood'!B5</f>
        <v>53206.566400000003</v>
      </c>
      <c r="D5" s="626" t="s">
        <v>458</v>
      </c>
      <c r="E5" s="815"/>
      <c r="F5" s="316"/>
      <c r="G5" s="325" t="s">
        <v>385</v>
      </c>
      <c r="H5" s="326">
        <f t="shared" ref="H5:H10" si="0">C4</f>
        <v>58616.063999999998</v>
      </c>
      <c r="I5" s="327">
        <v>0.32</v>
      </c>
      <c r="J5" s="408">
        <f>I5*H5</f>
        <v>18757.140479999998</v>
      </c>
      <c r="K5" s="316"/>
      <c r="L5" s="316"/>
      <c r="M5" s="316"/>
      <c r="N5" s="316"/>
      <c r="O5" s="316"/>
      <c r="P5" s="316"/>
    </row>
    <row r="6" spans="2:16" x14ac:dyDescent="0.3">
      <c r="B6" s="409" t="s">
        <v>390</v>
      </c>
      <c r="C6" s="414">
        <f>'[21]Transition to Adulthood'!B6</f>
        <v>64330.864000000001</v>
      </c>
      <c r="D6" s="626" t="s">
        <v>458</v>
      </c>
      <c r="E6" s="815"/>
      <c r="F6" s="316"/>
      <c r="G6" s="325" t="s">
        <v>388</v>
      </c>
      <c r="H6" s="326">
        <f t="shared" si="0"/>
        <v>53206.566400000003</v>
      </c>
      <c r="I6" s="329">
        <v>0.17</v>
      </c>
      <c r="J6" s="408">
        <f t="shared" ref="J6:J10" si="1">I6*H6</f>
        <v>9045.1162880000011</v>
      </c>
      <c r="K6" s="316"/>
      <c r="L6" s="316"/>
      <c r="M6" s="316"/>
      <c r="N6" s="316"/>
      <c r="O6" s="316"/>
      <c r="P6" s="316"/>
    </row>
    <row r="7" spans="2:16" x14ac:dyDescent="0.3">
      <c r="B7" s="334" t="s">
        <v>392</v>
      </c>
      <c r="C7" s="414">
        <f>'[21]Transition to Adulthood'!B7</f>
        <v>41600</v>
      </c>
      <c r="D7" s="626" t="s">
        <v>458</v>
      </c>
      <c r="E7" s="815"/>
      <c r="F7" s="316"/>
      <c r="G7" s="413" t="s">
        <v>390</v>
      </c>
      <c r="H7" s="326">
        <f t="shared" si="0"/>
        <v>64330.864000000001</v>
      </c>
      <c r="I7" s="329">
        <v>1</v>
      </c>
      <c r="J7" s="408">
        <f t="shared" si="1"/>
        <v>64330.864000000001</v>
      </c>
      <c r="K7" s="316"/>
      <c r="L7" s="316"/>
      <c r="M7" s="316"/>
      <c r="N7" s="316"/>
      <c r="O7" s="316"/>
      <c r="P7" s="316"/>
    </row>
    <row r="8" spans="2:16" x14ac:dyDescent="0.3">
      <c r="B8" s="334" t="s">
        <v>394</v>
      </c>
      <c r="C8" s="414">
        <f>'[21]Transition to Adulthood'!B8</f>
        <v>79415.232000000018</v>
      </c>
      <c r="D8" s="626" t="s">
        <v>458</v>
      </c>
      <c r="E8" s="815"/>
      <c r="F8" s="316"/>
      <c r="G8" s="325" t="s">
        <v>392</v>
      </c>
      <c r="H8" s="326">
        <f t="shared" si="0"/>
        <v>41600</v>
      </c>
      <c r="I8" s="329">
        <v>1.25</v>
      </c>
      <c r="J8" s="408">
        <f t="shared" si="1"/>
        <v>52000</v>
      </c>
      <c r="K8" s="316"/>
      <c r="L8" s="316"/>
      <c r="M8" s="316"/>
      <c r="N8" s="316"/>
      <c r="O8" s="316"/>
      <c r="P8" s="316"/>
    </row>
    <row r="9" spans="2:16" x14ac:dyDescent="0.3">
      <c r="B9" s="336" t="s">
        <v>477</v>
      </c>
      <c r="C9" s="414">
        <f>'[21]Transition to Adulthood'!B11</f>
        <v>102258.624</v>
      </c>
      <c r="D9" s="626" t="s">
        <v>458</v>
      </c>
      <c r="E9" s="815"/>
      <c r="F9" s="316"/>
      <c r="G9" s="325" t="s">
        <v>394</v>
      </c>
      <c r="H9" s="326">
        <f t="shared" si="0"/>
        <v>79415.232000000018</v>
      </c>
      <c r="I9" s="816">
        <v>0.2</v>
      </c>
      <c r="J9" s="408">
        <f t="shared" si="1"/>
        <v>15883.046400000005</v>
      </c>
      <c r="K9" s="316"/>
      <c r="L9" s="316"/>
      <c r="M9" s="316"/>
      <c r="N9" s="316"/>
      <c r="O9" s="316"/>
      <c r="P9" s="316"/>
    </row>
    <row r="10" spans="2:16" ht="19.5" thickBot="1" x14ac:dyDescent="0.35">
      <c r="B10" s="1180" t="s">
        <v>438</v>
      </c>
      <c r="C10" s="1181"/>
      <c r="D10" s="629"/>
      <c r="E10" s="817"/>
      <c r="F10" s="316"/>
      <c r="G10" s="325" t="s">
        <v>462</v>
      </c>
      <c r="H10" s="326">
        <f t="shared" si="0"/>
        <v>102258.624</v>
      </c>
      <c r="I10" s="329">
        <v>0.25</v>
      </c>
      <c r="J10" s="408">
        <f t="shared" si="1"/>
        <v>25564.655999999999</v>
      </c>
      <c r="K10" s="316"/>
      <c r="L10" s="316"/>
      <c r="M10" s="316"/>
      <c r="N10" s="316"/>
      <c r="O10" s="316"/>
      <c r="P10" s="316"/>
    </row>
    <row r="11" spans="2:16" ht="19.5" thickBot="1" x14ac:dyDescent="0.35">
      <c r="B11" s="630" t="s">
        <v>439</v>
      </c>
      <c r="C11" s="319" t="s">
        <v>440</v>
      </c>
      <c r="D11" s="631"/>
      <c r="E11" s="818"/>
      <c r="F11" s="316"/>
      <c r="G11" s="330" t="s">
        <v>10</v>
      </c>
      <c r="H11" s="331"/>
      <c r="I11" s="332">
        <f>SUM(I5:I10)</f>
        <v>3.1900000000000004</v>
      </c>
      <c r="J11" s="422">
        <f>SUM(J5:J10)</f>
        <v>185580.82316799997</v>
      </c>
      <c r="K11" s="316"/>
      <c r="L11" s="316"/>
      <c r="M11" s="316"/>
      <c r="N11" s="316"/>
      <c r="O11" s="316"/>
      <c r="P11" s="316"/>
    </row>
    <row r="12" spans="2:16" x14ac:dyDescent="0.3">
      <c r="B12" s="334" t="s">
        <v>385</v>
      </c>
      <c r="C12" s="423">
        <v>0.04</v>
      </c>
      <c r="D12" s="632" t="s">
        <v>404</v>
      </c>
      <c r="E12" s="666"/>
      <c r="F12" s="316"/>
      <c r="G12" s="336" t="s">
        <v>11</v>
      </c>
      <c r="H12" s="337"/>
      <c r="I12" s="338">
        <f>C19</f>
        <v>0.27379999999999999</v>
      </c>
      <c r="J12" s="426">
        <f>J11*I12</f>
        <v>50812.029383398389</v>
      </c>
      <c r="K12" s="316"/>
      <c r="L12" s="316"/>
      <c r="M12" s="316"/>
      <c r="N12" s="316"/>
      <c r="O12" s="316"/>
      <c r="P12" s="316"/>
    </row>
    <row r="13" spans="2:16" ht="19.5" thickBot="1" x14ac:dyDescent="0.35">
      <c r="B13" s="334" t="s">
        <v>388</v>
      </c>
      <c r="C13" s="423">
        <v>2.0833333333333332E-2</v>
      </c>
      <c r="D13" s="632" t="s">
        <v>404</v>
      </c>
      <c r="E13" s="666"/>
      <c r="F13" s="316"/>
      <c r="G13" s="340" t="s">
        <v>402</v>
      </c>
      <c r="H13" s="341"/>
      <c r="I13" s="341"/>
      <c r="J13" s="428">
        <f>J12+J11</f>
        <v>236392.85255139836</v>
      </c>
      <c r="K13" s="316"/>
      <c r="L13" s="316"/>
      <c r="M13" s="316"/>
      <c r="N13" s="316"/>
      <c r="O13" s="316"/>
      <c r="P13" s="316"/>
    </row>
    <row r="14" spans="2:16" ht="19.5" thickTop="1" x14ac:dyDescent="0.3">
      <c r="B14" s="334" t="s">
        <v>390</v>
      </c>
      <c r="C14" s="423">
        <v>0.125</v>
      </c>
      <c r="D14" s="632" t="s">
        <v>404</v>
      </c>
      <c r="E14" s="666"/>
      <c r="F14" s="316"/>
      <c r="G14" s="334" t="s">
        <v>222</v>
      </c>
      <c r="H14" s="316"/>
      <c r="I14" s="819">
        <f>C20</f>
        <v>0.12</v>
      </c>
      <c r="J14" s="344">
        <f>J13*I14</f>
        <v>28367.142306167803</v>
      </c>
      <c r="K14" s="316"/>
      <c r="L14" s="316"/>
      <c r="M14" s="316"/>
      <c r="N14" s="316"/>
      <c r="O14" s="316"/>
      <c r="P14" s="316"/>
    </row>
    <row r="15" spans="2:16" x14ac:dyDescent="0.3">
      <c r="B15" s="334" t="s">
        <v>392</v>
      </c>
      <c r="C15" s="423">
        <v>1.25</v>
      </c>
      <c r="D15" s="632" t="s">
        <v>404</v>
      </c>
      <c r="E15" s="666"/>
      <c r="F15" s="316"/>
      <c r="G15" s="334" t="s">
        <v>409</v>
      </c>
      <c r="H15" s="316"/>
      <c r="I15" s="429">
        <f>C21</f>
        <v>3.0283759999999997</v>
      </c>
      <c r="J15" s="344">
        <f>I15*J3</f>
        <v>8842.8579199999986</v>
      </c>
      <c r="K15" s="316"/>
      <c r="L15" s="316"/>
      <c r="M15" s="316"/>
      <c r="N15" s="316"/>
      <c r="O15" s="316"/>
      <c r="P15" s="316"/>
    </row>
    <row r="16" spans="2:16" x14ac:dyDescent="0.3">
      <c r="B16" s="334" t="s">
        <v>394</v>
      </c>
      <c r="C16" s="423">
        <v>2.4500000000000001E-2</v>
      </c>
      <c r="D16" s="632" t="s">
        <v>404</v>
      </c>
      <c r="E16" s="666"/>
      <c r="F16" s="316"/>
      <c r="G16" s="334" t="str">
        <f>B22</f>
        <v>Misc FC Specific expenses</v>
      </c>
      <c r="H16" s="316"/>
      <c r="I16" s="343">
        <f>C22</f>
        <v>1.4999999999999999E-2</v>
      </c>
      <c r="J16" s="344">
        <f>J13*I16</f>
        <v>3545.8927882709754</v>
      </c>
      <c r="K16" s="316"/>
      <c r="L16" s="316"/>
      <c r="M16" s="316"/>
      <c r="N16" s="316"/>
      <c r="O16" s="316"/>
      <c r="P16" s="316"/>
    </row>
    <row r="17" spans="2:16" ht="19.5" thickBot="1" x14ac:dyDescent="0.35">
      <c r="B17" s="336" t="s">
        <v>462</v>
      </c>
      <c r="C17" s="431">
        <v>0.25</v>
      </c>
      <c r="D17" s="807" t="s">
        <v>404</v>
      </c>
      <c r="E17" s="666"/>
      <c r="F17" s="316"/>
      <c r="G17" s="634" t="s">
        <v>412</v>
      </c>
      <c r="H17" s="635"/>
      <c r="I17" s="635"/>
      <c r="J17" s="820">
        <f>J13+J14+J15+J16</f>
        <v>277148.74556583707</v>
      </c>
      <c r="K17" s="316"/>
      <c r="L17" s="316"/>
      <c r="M17" s="316"/>
      <c r="N17" s="316"/>
      <c r="O17" s="316"/>
      <c r="P17" s="316"/>
    </row>
    <row r="18" spans="2:16" x14ac:dyDescent="0.3">
      <c r="B18" s="1180" t="s">
        <v>396</v>
      </c>
      <c r="C18" s="1181"/>
      <c r="D18" s="631"/>
      <c r="E18" s="453"/>
      <c r="F18" s="316"/>
      <c r="G18" s="334" t="str">
        <f>B23</f>
        <v>CAF Rate</v>
      </c>
      <c r="H18" s="355"/>
      <c r="I18" s="343">
        <f>C23</f>
        <v>2.5758086673353865E-2</v>
      </c>
      <c r="J18" s="435">
        <f>(J13+J15)*I18</f>
        <v>6316.8026857237937</v>
      </c>
      <c r="K18" s="316"/>
      <c r="L18" s="316"/>
      <c r="M18" s="316"/>
      <c r="N18" s="316"/>
      <c r="O18" s="316"/>
      <c r="P18" s="316"/>
    </row>
    <row r="19" spans="2:16" ht="19.5" thickBot="1" x14ac:dyDescent="0.35">
      <c r="B19" s="334" t="s">
        <v>52</v>
      </c>
      <c r="C19" s="355">
        <f>'[21]Transition to Adulthood'!C23</f>
        <v>0.27379999999999999</v>
      </c>
      <c r="D19" s="640" t="s">
        <v>397</v>
      </c>
      <c r="E19" s="521"/>
      <c r="F19" s="316"/>
      <c r="G19" s="357" t="s">
        <v>414</v>
      </c>
      <c r="H19" s="358"/>
      <c r="I19" s="358"/>
      <c r="J19" s="359">
        <f>(J17+J18)/J3</f>
        <v>97.077242551904419</v>
      </c>
      <c r="K19" s="439">
        <f>(J19-J20)/J20</f>
        <v>0.2094654872813643</v>
      </c>
      <c r="L19" s="316"/>
      <c r="M19" s="316"/>
      <c r="N19" s="316"/>
      <c r="O19" s="316"/>
      <c r="P19" s="316"/>
    </row>
    <row r="20" spans="2:16" x14ac:dyDescent="0.3">
      <c r="B20" s="334" t="s">
        <v>398</v>
      </c>
      <c r="C20" s="821">
        <f>'[21]Transition to Adulthood'!C24</f>
        <v>0.12</v>
      </c>
      <c r="D20" s="640" t="s">
        <v>397</v>
      </c>
      <c r="E20" s="822"/>
      <c r="F20" s="316"/>
      <c r="G20" s="316"/>
      <c r="H20" s="343"/>
      <c r="I20" s="437" t="s">
        <v>407</v>
      </c>
      <c r="J20" s="438">
        <v>80.264582638165706</v>
      </c>
      <c r="K20" s="316"/>
      <c r="L20" s="316"/>
      <c r="M20" s="316"/>
      <c r="N20" s="316"/>
      <c r="O20" s="316"/>
      <c r="P20" s="316"/>
    </row>
    <row r="21" spans="2:16" ht="18" customHeight="1" thickBot="1" x14ac:dyDescent="0.35">
      <c r="B21" s="639" t="s">
        <v>453</v>
      </c>
      <c r="C21" s="429">
        <f>'[21]Emerg Homes &amp; Exploited Youth'!C20</f>
        <v>3.0283759999999997</v>
      </c>
      <c r="D21" s="640" t="s">
        <v>466</v>
      </c>
      <c r="E21" s="822"/>
      <c r="F21" s="316"/>
      <c r="G21" s="316"/>
      <c r="H21" s="316"/>
      <c r="I21" s="316"/>
      <c r="J21" s="349"/>
      <c r="K21" s="316"/>
      <c r="L21" s="316"/>
      <c r="M21" s="316"/>
      <c r="N21" s="316"/>
      <c r="O21" s="316"/>
      <c r="P21" s="316"/>
    </row>
    <row r="22" spans="2:16" ht="18" customHeight="1" thickBot="1" x14ac:dyDescent="0.35">
      <c r="B22" s="699" t="str">
        <f>'[21]Emerg Homes &amp; Exploited Youth'!A21</f>
        <v>Misc FC Specific expenses</v>
      </c>
      <c r="C22" s="676">
        <f>'[21]Emerg Homes &amp; Exploited Youth'!C21</f>
        <v>1.4999999999999999E-2</v>
      </c>
      <c r="D22" s="697" t="str">
        <f>D14</f>
        <v xml:space="preserve">DCF defined </v>
      </c>
      <c r="E22" s="822"/>
      <c r="F22" s="316"/>
      <c r="G22" s="1169" t="s">
        <v>478</v>
      </c>
      <c r="H22" s="1170"/>
      <c r="I22" s="1171"/>
      <c r="J22" s="823"/>
      <c r="K22" s="316"/>
      <c r="L22" s="316"/>
      <c r="M22" s="316"/>
      <c r="N22" s="316"/>
      <c r="O22" s="316"/>
      <c r="P22" s="316"/>
    </row>
    <row r="23" spans="2:16" ht="32.25" thickBot="1" x14ac:dyDescent="0.35">
      <c r="B23" s="644" t="s">
        <v>413</v>
      </c>
      <c r="C23" s="824">
        <f>'[21]Transition to Adulthood'!C27</f>
        <v>2.5758086673353865E-2</v>
      </c>
      <c r="D23" s="825" t="s">
        <v>479</v>
      </c>
      <c r="E23" s="822"/>
      <c r="F23" s="316"/>
      <c r="G23" s="826"/>
      <c r="H23" s="827" t="s">
        <v>417</v>
      </c>
      <c r="I23" s="828" t="s">
        <v>418</v>
      </c>
      <c r="J23" s="316"/>
      <c r="K23" s="316"/>
      <c r="L23" s="316"/>
      <c r="M23" s="316"/>
      <c r="N23" s="316"/>
      <c r="O23" s="316"/>
      <c r="P23" s="316"/>
    </row>
    <row r="24" spans="2:16" x14ac:dyDescent="0.3">
      <c r="B24" s="316"/>
      <c r="C24" s="316"/>
      <c r="D24" s="316"/>
      <c r="E24" s="815"/>
      <c r="F24" s="316"/>
      <c r="G24" s="829" t="s">
        <v>465</v>
      </c>
      <c r="H24" s="830">
        <v>30.72</v>
      </c>
      <c r="I24" s="831">
        <f>'[21]IFC &amp; Enhanced FC'!C16</f>
        <v>36.79</v>
      </c>
      <c r="J24" s="316"/>
      <c r="K24" s="316"/>
      <c r="L24" s="316"/>
      <c r="M24" s="316"/>
      <c r="N24" s="316"/>
      <c r="O24" s="316"/>
      <c r="P24" s="316"/>
    </row>
    <row r="25" spans="2:16" x14ac:dyDescent="0.3">
      <c r="B25" s="316"/>
      <c r="C25" s="316"/>
      <c r="D25" s="316"/>
      <c r="E25" s="666"/>
      <c r="F25" s="316"/>
      <c r="G25" s="829" t="s">
        <v>421</v>
      </c>
      <c r="H25" s="832">
        <v>57.986104639644687</v>
      </c>
      <c r="I25" s="833">
        <f>H25*(C23+1)</f>
        <v>59.479715748802818</v>
      </c>
      <c r="J25" s="316"/>
      <c r="K25" s="316"/>
      <c r="L25" s="316"/>
      <c r="M25" s="316"/>
      <c r="N25" s="316"/>
      <c r="O25" s="316"/>
      <c r="P25" s="316"/>
    </row>
    <row r="26" spans="2:16" ht="19.5" thickBot="1" x14ac:dyDescent="0.35">
      <c r="B26" s="316"/>
      <c r="C26" s="316"/>
      <c r="D26" s="316"/>
      <c r="E26" s="834"/>
      <c r="F26" s="316"/>
      <c r="G26" s="835"/>
      <c r="H26" s="363">
        <f>SUM(H24:H25)</f>
        <v>88.706104639644678</v>
      </c>
      <c r="I26" s="836">
        <f>SUM(I24:I25)</f>
        <v>96.26971574880281</v>
      </c>
      <c r="J26" s="837">
        <f>(I26-H26)/H26</f>
        <v>8.5265959314572246E-2</v>
      </c>
      <c r="K26" s="316"/>
      <c r="L26" s="316"/>
      <c r="M26" s="316"/>
      <c r="N26" s="316"/>
      <c r="O26" s="316"/>
      <c r="P26" s="316"/>
    </row>
    <row r="27" spans="2:16" x14ac:dyDescent="0.3">
      <c r="B27" s="316"/>
      <c r="C27" s="316"/>
      <c r="D27" s="316"/>
      <c r="E27" s="834"/>
      <c r="F27" s="316"/>
      <c r="G27" s="316"/>
      <c r="H27" s="316"/>
      <c r="I27" s="316"/>
      <c r="J27" s="316"/>
      <c r="K27" s="316"/>
      <c r="L27" s="316"/>
      <c r="M27" s="316"/>
      <c r="N27" s="316"/>
      <c r="O27" s="316"/>
      <c r="P27" s="316"/>
    </row>
    <row r="28" spans="2:16" x14ac:dyDescent="0.3">
      <c r="B28" s="316"/>
      <c r="C28" s="316"/>
      <c r="D28" s="316"/>
      <c r="E28" s="316"/>
      <c r="F28" s="316"/>
      <c r="G28" s="316"/>
      <c r="H28" s="316"/>
      <c r="I28" s="316"/>
      <c r="J28" s="316"/>
      <c r="K28" s="316"/>
      <c r="L28" s="316"/>
      <c r="M28" s="316"/>
      <c r="N28" s="316"/>
      <c r="O28" s="316"/>
      <c r="P28" s="316"/>
    </row>
    <row r="29" spans="2:16" x14ac:dyDescent="0.3">
      <c r="B29" s="316"/>
      <c r="C29" s="316"/>
      <c r="D29" s="316"/>
      <c r="E29" s="316"/>
      <c r="F29" s="316"/>
      <c r="G29" s="316"/>
      <c r="H29" s="316"/>
      <c r="I29" s="316"/>
      <c r="J29" s="316"/>
      <c r="K29" s="316"/>
      <c r="L29" s="316"/>
      <c r="M29" s="316"/>
      <c r="N29" s="316"/>
      <c r="O29" s="316"/>
      <c r="P29" s="316"/>
    </row>
  </sheetData>
  <mergeCells count="6">
    <mergeCell ref="G22:I22"/>
    <mergeCell ref="B2:D2"/>
    <mergeCell ref="G2:J2"/>
    <mergeCell ref="B3:C3"/>
    <mergeCell ref="B10:C10"/>
    <mergeCell ref="B18:C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3BB2-E866-4EC3-94B9-47F37FAE1601}">
  <dimension ref="A1:P34"/>
  <sheetViews>
    <sheetView zoomScale="85" zoomScaleNormal="85" workbookViewId="0">
      <selection activeCell="E32" sqref="E32"/>
    </sheetView>
  </sheetViews>
  <sheetFormatPr defaultColWidth="22" defaultRowHeight="15.75" x14ac:dyDescent="0.25"/>
  <cols>
    <col min="1" max="1" width="22" style="316"/>
    <col min="2" max="2" width="31.85546875" style="316" customWidth="1"/>
    <col min="3" max="3" width="10" style="316" bestFit="1" customWidth="1"/>
    <col min="4" max="4" width="8.5703125" style="316" bestFit="1" customWidth="1"/>
    <col min="5" max="5" width="29.28515625" style="376" bestFit="1" customWidth="1"/>
    <col min="6" max="6" width="5.42578125" style="316" customWidth="1"/>
    <col min="7" max="7" width="33.85546875" style="316" customWidth="1"/>
    <col min="8" max="8" width="10" style="316" bestFit="1" customWidth="1"/>
    <col min="9" max="9" width="12.42578125" style="316" bestFit="1" customWidth="1"/>
    <col min="10" max="10" width="11.140625" style="316" bestFit="1" customWidth="1"/>
    <col min="11" max="11" width="10" style="316" customWidth="1"/>
    <col min="12" max="12" width="34" style="316" customWidth="1"/>
    <col min="13" max="13" width="11.85546875" style="316" customWidth="1"/>
    <col min="14" max="14" width="12.85546875" style="316" bestFit="1" customWidth="1"/>
    <col min="15" max="15" width="11.140625" style="316" bestFit="1" customWidth="1"/>
    <col min="16" max="16" width="22" style="397"/>
    <col min="17" max="16384" width="22" style="316"/>
  </cols>
  <sheetData>
    <row r="1" spans="1:15" ht="16.5" thickBot="1" x14ac:dyDescent="0.3">
      <c r="E1" s="316"/>
    </row>
    <row r="2" spans="1:15" s="397" customFormat="1" ht="33" customHeight="1" thickBot="1" x14ac:dyDescent="0.3">
      <c r="A2" s="316"/>
      <c r="B2" s="1188" t="s">
        <v>379</v>
      </c>
      <c r="C2" s="1189"/>
      <c r="D2" s="1189"/>
      <c r="E2" s="1190"/>
      <c r="F2" s="396"/>
      <c r="G2" s="1159" t="s">
        <v>468</v>
      </c>
      <c r="H2" s="1160"/>
      <c r="I2" s="1160"/>
      <c r="J2" s="1161"/>
      <c r="K2" s="396"/>
      <c r="L2" s="1159" t="s">
        <v>469</v>
      </c>
      <c r="M2" s="1160"/>
      <c r="N2" s="1160"/>
      <c r="O2" s="1161"/>
    </row>
    <row r="3" spans="1:15" s="397" customFormat="1" ht="32.25" thickBot="1" x14ac:dyDescent="0.3">
      <c r="A3" s="316"/>
      <c r="B3" s="1191" t="s">
        <v>382</v>
      </c>
      <c r="C3" s="1192"/>
      <c r="D3" s="1193"/>
      <c r="E3" s="804" t="s">
        <v>51</v>
      </c>
      <c r="F3" s="398"/>
      <c r="G3" s="399" t="s">
        <v>383</v>
      </c>
      <c r="H3" s="345">
        <v>8</v>
      </c>
      <c r="I3" s="400" t="s">
        <v>384</v>
      </c>
      <c r="J3" s="401">
        <v>2920</v>
      </c>
      <c r="K3" s="316"/>
      <c r="L3" s="399" t="s">
        <v>383</v>
      </c>
      <c r="M3" s="345">
        <v>5</v>
      </c>
      <c r="N3" s="400" t="s">
        <v>384</v>
      </c>
      <c r="O3" s="401">
        <v>1825</v>
      </c>
    </row>
    <row r="4" spans="1:15" s="397" customFormat="1" ht="16.5" thickBot="1" x14ac:dyDescent="0.3">
      <c r="A4" s="316"/>
      <c r="B4" s="334" t="s">
        <v>385</v>
      </c>
      <c r="C4" s="402">
        <f>'[21]Transition to Adulthood'!B4</f>
        <v>58616.063999999998</v>
      </c>
      <c r="D4" s="402"/>
      <c r="E4" s="805" t="s">
        <v>458</v>
      </c>
      <c r="F4" s="403"/>
      <c r="G4" s="404" t="s">
        <v>135</v>
      </c>
      <c r="H4" s="405" t="s">
        <v>7</v>
      </c>
      <c r="I4" s="405" t="s">
        <v>387</v>
      </c>
      <c r="J4" s="406" t="s">
        <v>76</v>
      </c>
      <c r="K4" s="403"/>
      <c r="L4" s="404" t="s">
        <v>135</v>
      </c>
      <c r="M4" s="405" t="s">
        <v>7</v>
      </c>
      <c r="N4" s="405" t="s">
        <v>387</v>
      </c>
      <c r="O4" s="406" t="s">
        <v>76</v>
      </c>
    </row>
    <row r="5" spans="1:15" s="397" customFormat="1" x14ac:dyDescent="0.25">
      <c r="A5" s="316"/>
      <c r="B5" s="334" t="s">
        <v>388</v>
      </c>
      <c r="C5" s="402">
        <f>'[21]Transition to Adulthood'!B5</f>
        <v>53206.566400000003</v>
      </c>
      <c r="D5" s="402"/>
      <c r="E5" s="806" t="s">
        <v>458</v>
      </c>
      <c r="F5" s="396"/>
      <c r="G5" s="325" t="s">
        <v>385</v>
      </c>
      <c r="H5" s="326">
        <f>C4</f>
        <v>58616.063999999998</v>
      </c>
      <c r="I5" s="327">
        <v>0.32</v>
      </c>
      <c r="J5" s="328">
        <f>I5*H5</f>
        <v>18757.140479999998</v>
      </c>
      <c r="K5" s="396"/>
      <c r="L5" s="325" t="s">
        <v>385</v>
      </c>
      <c r="M5" s="326">
        <f>H5</f>
        <v>58616.063999999998</v>
      </c>
      <c r="N5" s="407">
        <v>0.32</v>
      </c>
      <c r="O5" s="408">
        <f>N5*M5</f>
        <v>18757.140479999998</v>
      </c>
    </row>
    <row r="6" spans="1:15" s="397" customFormat="1" x14ac:dyDescent="0.25">
      <c r="A6" s="316"/>
      <c r="B6" s="409" t="s">
        <v>390</v>
      </c>
      <c r="C6" s="402">
        <f>'[21]Transition to Adulthood'!B6</f>
        <v>64330.864000000001</v>
      </c>
      <c r="D6" s="402"/>
      <c r="E6" s="806" t="s">
        <v>458</v>
      </c>
      <c r="F6" s="410"/>
      <c r="G6" s="325" t="s">
        <v>388</v>
      </c>
      <c r="H6" s="326">
        <f>C5</f>
        <v>53206.566400000003</v>
      </c>
      <c r="I6" s="329">
        <v>0.16700000000000001</v>
      </c>
      <c r="J6" s="328">
        <f t="shared" ref="J6:J9" si="0">I6*H6</f>
        <v>8885.4965888000006</v>
      </c>
      <c r="K6" s="410"/>
      <c r="L6" s="325" t="s">
        <v>388</v>
      </c>
      <c r="M6" s="326">
        <f>H6</f>
        <v>53206.566400000003</v>
      </c>
      <c r="N6" s="407">
        <v>0.1666667</v>
      </c>
      <c r="O6" s="408">
        <f t="shared" ref="O6:O10" si="1">N6*M6</f>
        <v>8867.7628402188802</v>
      </c>
    </row>
    <row r="7" spans="1:15" s="397" customFormat="1" x14ac:dyDescent="0.25">
      <c r="A7" s="316"/>
      <c r="B7" s="334" t="s">
        <v>392</v>
      </c>
      <c r="C7" s="411">
        <f>'[21]Transition to Adulthood'!B7</f>
        <v>41600</v>
      </c>
      <c r="D7" s="402"/>
      <c r="E7" s="806" t="s">
        <v>458</v>
      </c>
      <c r="F7" s="412"/>
      <c r="G7" s="413" t="s">
        <v>390</v>
      </c>
      <c r="H7" s="326">
        <f>C6</f>
        <v>64330.864000000001</v>
      </c>
      <c r="I7" s="329">
        <v>1.5</v>
      </c>
      <c r="J7" s="328">
        <f t="shared" si="0"/>
        <v>96496.296000000002</v>
      </c>
      <c r="K7" s="412"/>
      <c r="L7" s="413" t="s">
        <v>390</v>
      </c>
      <c r="M7" s="326">
        <f>H7</f>
        <v>64330.864000000001</v>
      </c>
      <c r="N7" s="407">
        <v>1</v>
      </c>
      <c r="O7" s="408">
        <f t="shared" si="1"/>
        <v>64330.864000000001</v>
      </c>
    </row>
    <row r="8" spans="1:15" s="397" customFormat="1" x14ac:dyDescent="0.25">
      <c r="A8" s="316"/>
      <c r="B8" s="334" t="s">
        <v>394</v>
      </c>
      <c r="C8" s="414">
        <f>'[21]Transition to Adulthood'!B8</f>
        <v>79415.232000000018</v>
      </c>
      <c r="D8" s="349"/>
      <c r="E8" s="806" t="s">
        <v>458</v>
      </c>
      <c r="F8" s="412"/>
      <c r="G8" s="325" t="s">
        <v>392</v>
      </c>
      <c r="H8" s="326">
        <f>C7</f>
        <v>41600</v>
      </c>
      <c r="I8" s="329">
        <v>1</v>
      </c>
      <c r="J8" s="328">
        <f t="shared" si="0"/>
        <v>41600</v>
      </c>
      <c r="K8" s="412"/>
      <c r="L8" s="325" t="s">
        <v>392</v>
      </c>
      <c r="M8" s="326">
        <f>H8</f>
        <v>41600</v>
      </c>
      <c r="N8" s="407">
        <v>1</v>
      </c>
      <c r="O8" s="408">
        <f t="shared" si="1"/>
        <v>41600</v>
      </c>
    </row>
    <row r="9" spans="1:15" s="397" customFormat="1" ht="16.5" thickBot="1" x14ac:dyDescent="0.3">
      <c r="A9" s="316"/>
      <c r="B9" s="336" t="s">
        <v>470</v>
      </c>
      <c r="C9" s="415">
        <f>C7</f>
        <v>41600</v>
      </c>
      <c r="D9" s="402"/>
      <c r="E9" s="771" t="s">
        <v>458</v>
      </c>
      <c r="F9" s="416"/>
      <c r="G9" s="325" t="s">
        <v>394</v>
      </c>
      <c r="H9" s="326">
        <f>C8</f>
        <v>79415.232000000018</v>
      </c>
      <c r="I9" s="417">
        <v>0.25</v>
      </c>
      <c r="J9" s="328">
        <f t="shared" si="0"/>
        <v>19853.808000000005</v>
      </c>
      <c r="K9" s="418"/>
      <c r="L9" s="325" t="s">
        <v>394</v>
      </c>
      <c r="M9" s="326">
        <f>H9</f>
        <v>79415.232000000018</v>
      </c>
      <c r="N9" s="407">
        <v>0.1</v>
      </c>
      <c r="O9" s="408">
        <f t="shared" si="1"/>
        <v>7941.5232000000024</v>
      </c>
    </row>
    <row r="10" spans="1:15" s="397" customFormat="1" ht="16.5" thickBot="1" x14ac:dyDescent="0.3">
      <c r="A10" s="316"/>
      <c r="B10" s="1194" t="s">
        <v>438</v>
      </c>
      <c r="C10" s="1195"/>
      <c r="D10" s="1196"/>
      <c r="E10" s="629"/>
      <c r="F10" s="416"/>
      <c r="G10" s="330" t="s">
        <v>10</v>
      </c>
      <c r="H10" s="331"/>
      <c r="I10" s="332">
        <f>SUM(I5:I9)</f>
        <v>3.2370000000000001</v>
      </c>
      <c r="J10" s="333">
        <f>SUM(J5:J9)</f>
        <v>185592.74106880004</v>
      </c>
      <c r="K10" s="418"/>
      <c r="L10" s="336" t="s">
        <v>470</v>
      </c>
      <c r="M10" s="326">
        <f>M8</f>
        <v>41600</v>
      </c>
      <c r="N10" s="407">
        <v>1</v>
      </c>
      <c r="O10" s="408">
        <f t="shared" si="1"/>
        <v>41600</v>
      </c>
    </row>
    <row r="11" spans="1:15" s="397" customFormat="1" ht="16.5" thickBot="1" x14ac:dyDescent="0.3">
      <c r="A11" s="316"/>
      <c r="B11" s="420" t="s">
        <v>439</v>
      </c>
      <c r="C11" s="345" t="s">
        <v>440</v>
      </c>
      <c r="D11" s="421" t="s">
        <v>471</v>
      </c>
      <c r="E11" s="631"/>
      <c r="F11" s="416"/>
      <c r="G11" s="336" t="s">
        <v>11</v>
      </c>
      <c r="H11" s="337"/>
      <c r="I11" s="338">
        <f>D19</f>
        <v>0.27379999999999999</v>
      </c>
      <c r="J11" s="339">
        <f>I11*J10</f>
        <v>50815.292504637451</v>
      </c>
      <c r="K11" s="418"/>
      <c r="L11" s="330" t="s">
        <v>10</v>
      </c>
      <c r="M11" s="331"/>
      <c r="N11" s="332">
        <f>SUM(N5:N10)</f>
        <v>3.5866666999999999</v>
      </c>
      <c r="O11" s="422">
        <f>SUM(O5:O10)</f>
        <v>183097.29052021887</v>
      </c>
    </row>
    <row r="12" spans="1:15" s="397" customFormat="1" ht="16.5" thickBot="1" x14ac:dyDescent="0.3">
      <c r="A12" s="316"/>
      <c r="B12" s="334" t="s">
        <v>385</v>
      </c>
      <c r="C12" s="423">
        <v>0.04</v>
      </c>
      <c r="D12" s="424">
        <v>0.32</v>
      </c>
      <c r="E12" s="632" t="s">
        <v>404</v>
      </c>
      <c r="F12" s="425"/>
      <c r="G12" s="340" t="s">
        <v>402</v>
      </c>
      <c r="H12" s="341"/>
      <c r="I12" s="341"/>
      <c r="J12" s="342">
        <f>J11+J10</f>
        <v>236408.03357343748</v>
      </c>
      <c r="K12" s="425"/>
      <c r="L12" s="336" t="s">
        <v>11</v>
      </c>
      <c r="M12" s="337"/>
      <c r="N12" s="338">
        <f>I11</f>
        <v>0.27379999999999999</v>
      </c>
      <c r="O12" s="426">
        <f>N12*O11</f>
        <v>50132.038144435923</v>
      </c>
    </row>
    <row r="13" spans="1:15" s="397" customFormat="1" ht="17.25" thickTop="1" thickBot="1" x14ac:dyDescent="0.3">
      <c r="A13" s="316"/>
      <c r="B13" s="334" t="s">
        <v>388</v>
      </c>
      <c r="C13" s="801">
        <v>2.0833333333333332E-2</v>
      </c>
      <c r="D13" s="424">
        <v>0.1666667</v>
      </c>
      <c r="E13" s="632" t="s">
        <v>404</v>
      </c>
      <c r="F13" s="427"/>
      <c r="G13" s="334" t="str">
        <f>B22</f>
        <v>Misc FC Specific expenses</v>
      </c>
      <c r="H13" s="343"/>
      <c r="I13" s="343">
        <f>D22</f>
        <v>1.4999999999999999E-2</v>
      </c>
      <c r="J13" s="335">
        <f>J12*I13</f>
        <v>3546.1205036015622</v>
      </c>
      <c r="K13" s="427"/>
      <c r="L13" s="340" t="s">
        <v>402</v>
      </c>
      <c r="M13" s="341"/>
      <c r="N13" s="341"/>
      <c r="O13" s="428">
        <f>O12+O11</f>
        <v>233229.32866465481</v>
      </c>
    </row>
    <row r="14" spans="1:15" s="397" customFormat="1" ht="16.5" thickTop="1" x14ac:dyDescent="0.25">
      <c r="A14" s="316"/>
      <c r="B14" s="334" t="s">
        <v>472</v>
      </c>
      <c r="C14" s="423">
        <v>1.5</v>
      </c>
      <c r="D14" s="424">
        <v>1</v>
      </c>
      <c r="E14" s="632" t="s">
        <v>404</v>
      </c>
      <c r="F14" s="396"/>
      <c r="G14" s="334" t="s">
        <v>222</v>
      </c>
      <c r="H14" s="316"/>
      <c r="I14" s="343">
        <f>D20</f>
        <v>0.12</v>
      </c>
      <c r="J14" s="344">
        <f>J12*I14</f>
        <v>28368.964028812497</v>
      </c>
      <c r="K14" s="396"/>
      <c r="L14" s="334" t="str">
        <f>G13</f>
        <v>Misc FC Specific expenses</v>
      </c>
      <c r="M14" s="343"/>
      <c r="N14" s="343">
        <f>I13</f>
        <v>1.4999999999999999E-2</v>
      </c>
      <c r="O14" s="335">
        <f>O13*N14</f>
        <v>3498.4399299698221</v>
      </c>
    </row>
    <row r="15" spans="1:15" s="397" customFormat="1" x14ac:dyDescent="0.25">
      <c r="A15" s="316"/>
      <c r="B15" s="334" t="s">
        <v>392</v>
      </c>
      <c r="C15" s="423">
        <v>1</v>
      </c>
      <c r="D15" s="424">
        <v>1</v>
      </c>
      <c r="E15" s="632" t="s">
        <v>404</v>
      </c>
      <c r="F15" s="425"/>
      <c r="G15" s="334" t="s">
        <v>409</v>
      </c>
      <c r="H15" s="316"/>
      <c r="I15" s="429">
        <f>D21</f>
        <v>3.0283759999999997</v>
      </c>
      <c r="J15" s="344">
        <f>I15*J3</f>
        <v>8842.8579199999986</v>
      </c>
      <c r="K15" s="425"/>
      <c r="L15" s="334" t="s">
        <v>222</v>
      </c>
      <c r="M15" s="316"/>
      <c r="N15" s="343">
        <f>I14</f>
        <v>0.12</v>
      </c>
      <c r="O15" s="344">
        <f>O13*N15</f>
        <v>27987.519439758576</v>
      </c>
    </row>
    <row r="16" spans="1:15" s="397" customFormat="1" ht="16.5" thickBot="1" x14ac:dyDescent="0.3">
      <c r="A16" s="316"/>
      <c r="B16" s="334" t="s">
        <v>394</v>
      </c>
      <c r="C16" s="423">
        <v>0.25</v>
      </c>
      <c r="D16" s="424">
        <v>1</v>
      </c>
      <c r="E16" s="632" t="s">
        <v>404</v>
      </c>
      <c r="F16" s="396"/>
      <c r="G16" s="351" t="s">
        <v>412</v>
      </c>
      <c r="H16" s="352"/>
      <c r="I16" s="352"/>
      <c r="J16" s="353">
        <f>J12+J14+J15+J13</f>
        <v>277165.9760258515</v>
      </c>
      <c r="K16" s="430"/>
      <c r="L16" s="334" t="s">
        <v>409</v>
      </c>
      <c r="M16" s="316"/>
      <c r="N16" s="429">
        <f>I15</f>
        <v>3.0283759999999997</v>
      </c>
      <c r="O16" s="344">
        <f>N16*O3</f>
        <v>5526.7861999999996</v>
      </c>
    </row>
    <row r="17" spans="1:16" s="397" customFormat="1" ht="17.25" thickTop="1" thickBot="1" x14ac:dyDescent="0.3">
      <c r="A17" s="316"/>
      <c r="B17" s="336" t="s">
        <v>470</v>
      </c>
      <c r="C17" s="431">
        <v>0</v>
      </c>
      <c r="D17" s="432">
        <v>1</v>
      </c>
      <c r="E17" s="807" t="s">
        <v>404</v>
      </c>
      <c r="F17" s="412"/>
      <c r="G17" s="334" t="str">
        <f>B23</f>
        <v xml:space="preserve">CAF </v>
      </c>
      <c r="H17" s="355"/>
      <c r="I17" s="343">
        <f>D23</f>
        <v>2.5758086673353865E-2</v>
      </c>
      <c r="J17" s="346">
        <f>(J12+J15)*I17</f>
        <v>6317.1937198052674</v>
      </c>
      <c r="K17" s="412"/>
      <c r="L17" s="351" t="s">
        <v>412</v>
      </c>
      <c r="M17" s="352"/>
      <c r="N17" s="352"/>
      <c r="O17" s="433">
        <f>O13+O15+O16+O14</f>
        <v>270242.07423438324</v>
      </c>
    </row>
    <row r="18" spans="1:16" ht="17.25" thickTop="1" thickBot="1" x14ac:dyDescent="0.3">
      <c r="B18" s="1194" t="s">
        <v>396</v>
      </c>
      <c r="C18" s="1195"/>
      <c r="D18" s="1196"/>
      <c r="E18" s="631"/>
      <c r="F18" s="427"/>
      <c r="G18" s="357" t="s">
        <v>414</v>
      </c>
      <c r="H18" s="358"/>
      <c r="I18" s="358"/>
      <c r="J18" s="359">
        <f>(J17+J16)/J3</f>
        <v>97.083277310156433</v>
      </c>
      <c r="K18" s="427"/>
      <c r="L18" s="334" t="str">
        <f>G17</f>
        <v xml:space="preserve">CAF </v>
      </c>
      <c r="M18" s="434"/>
      <c r="N18" s="343">
        <f>I17</f>
        <v>2.5758086673353865E-2</v>
      </c>
      <c r="O18" s="435">
        <f>(O13+O16)*N18</f>
        <v>6149.9007004770101</v>
      </c>
    </row>
    <row r="19" spans="1:16" ht="16.5" thickBot="1" x14ac:dyDescent="0.3">
      <c r="B19" s="334" t="s">
        <v>52</v>
      </c>
      <c r="C19" s="355"/>
      <c r="D19" s="436">
        <f>'[21]Transition to Adulthood'!C23</f>
        <v>0.27379999999999999</v>
      </c>
      <c r="E19" s="808" t="s">
        <v>397</v>
      </c>
      <c r="F19" s="427"/>
      <c r="H19" s="343"/>
      <c r="I19" s="437" t="s">
        <v>407</v>
      </c>
      <c r="J19" s="438">
        <v>79.893027837688322</v>
      </c>
      <c r="K19" s="439">
        <f>(J18-J19)/J19</f>
        <v>0.21516582782908211</v>
      </c>
      <c r="L19" s="357" t="s">
        <v>414</v>
      </c>
      <c r="M19" s="358"/>
      <c r="N19" s="358"/>
      <c r="O19" s="359">
        <f>(O18+O17)/O3+10</f>
        <v>161.44765749855355</v>
      </c>
    </row>
    <row r="20" spans="1:16" x14ac:dyDescent="0.25">
      <c r="B20" s="334" t="s">
        <v>398</v>
      </c>
      <c r="C20" s="440"/>
      <c r="D20" s="441">
        <f>'[21]Transition to Adulthood'!C24</f>
        <v>0.12</v>
      </c>
      <c r="E20" s="808" t="s">
        <v>397</v>
      </c>
      <c r="F20" s="442"/>
      <c r="H20" s="343"/>
      <c r="I20" s="343"/>
      <c r="J20" s="443"/>
      <c r="K20" s="427"/>
      <c r="M20" s="343"/>
      <c r="N20" s="437" t="s">
        <v>407</v>
      </c>
      <c r="O20" s="438">
        <v>133.85529830041</v>
      </c>
      <c r="P20" s="439">
        <f>(O19-O20)/O20</f>
        <v>0.20613572677727199</v>
      </c>
    </row>
    <row r="21" spans="1:16" ht="32.25" thickBot="1" x14ac:dyDescent="0.3">
      <c r="B21" s="1182" t="s">
        <v>453</v>
      </c>
      <c r="C21" s="1183"/>
      <c r="D21" s="444">
        <f>'[21]Transition to Adulthood'!C26</f>
        <v>3.0283759999999997</v>
      </c>
      <c r="E21" s="640" t="s">
        <v>466</v>
      </c>
      <c r="F21" s="427"/>
      <c r="G21" s="442"/>
      <c r="H21" s="442"/>
      <c r="I21" s="442"/>
      <c r="J21" s="442"/>
      <c r="K21" s="396"/>
      <c r="M21" s="343"/>
      <c r="N21" s="343"/>
      <c r="O21" s="360"/>
    </row>
    <row r="22" spans="1:16" ht="16.5" thickBot="1" x14ac:dyDescent="0.3">
      <c r="B22" s="445" t="str">
        <f>'[21]Transition to Adulthood'!A25</f>
        <v>Misc FC Specific expenses</v>
      </c>
      <c r="C22" s="802"/>
      <c r="D22" s="446">
        <f>'[21]Transition to Adulthood'!C25</f>
        <v>1.4999999999999999E-2</v>
      </c>
      <c r="E22" s="809" t="s">
        <v>404</v>
      </c>
      <c r="F22" s="427"/>
      <c r="G22" s="1184" t="s">
        <v>473</v>
      </c>
      <c r="H22" s="1185"/>
      <c r="I22" s="1186"/>
      <c r="J22" s="362"/>
      <c r="K22" s="447"/>
      <c r="L22" s="1164" t="s">
        <v>474</v>
      </c>
      <c r="M22" s="1165"/>
      <c r="N22" s="1166"/>
      <c r="O22" s="362"/>
    </row>
    <row r="23" spans="1:16" ht="32.25" thickBot="1" x14ac:dyDescent="0.3">
      <c r="B23" s="448" t="s">
        <v>475</v>
      </c>
      <c r="C23" s="449"/>
      <c r="D23" s="803">
        <f>'[21]M2022 BLS SALARY CHART (53_PCT)'!C42</f>
        <v>2.5758086673353865E-2</v>
      </c>
      <c r="E23" s="793" t="s">
        <v>467</v>
      </c>
      <c r="F23" s="396"/>
      <c r="G23" s="450"/>
      <c r="H23" s="810" t="s">
        <v>417</v>
      </c>
      <c r="I23" s="811" t="s">
        <v>418</v>
      </c>
      <c r="J23" s="362"/>
      <c r="K23" s="451"/>
      <c r="L23" s="452"/>
      <c r="M23" s="812" t="s">
        <v>417</v>
      </c>
      <c r="N23" s="813" t="s">
        <v>418</v>
      </c>
      <c r="O23" s="362"/>
    </row>
    <row r="24" spans="1:16" x14ac:dyDescent="0.25">
      <c r="B24" s="1187"/>
      <c r="C24" s="1187"/>
      <c r="D24" s="1187"/>
      <c r="E24" s="1187"/>
      <c r="F24" s="447"/>
      <c r="G24" s="454" t="s">
        <v>465</v>
      </c>
      <c r="H24" s="799">
        <v>30.72</v>
      </c>
      <c r="I24" s="455">
        <f>'[21]IFC &amp; Enhanced FC'!$C$16</f>
        <v>36.79</v>
      </c>
      <c r="J24" s="362"/>
      <c r="K24" s="396"/>
      <c r="L24" s="454" t="s">
        <v>465</v>
      </c>
      <c r="M24" s="799">
        <v>30.72</v>
      </c>
      <c r="N24" s="456">
        <f>I24</f>
        <v>36.79</v>
      </c>
      <c r="O24" s="362"/>
    </row>
    <row r="25" spans="1:16" ht="16.5" thickBot="1" x14ac:dyDescent="0.3">
      <c r="B25" s="457"/>
      <c r="C25" s="457"/>
      <c r="D25" s="457"/>
      <c r="E25" s="457"/>
      <c r="F25" s="451"/>
      <c r="G25" s="452" t="s">
        <v>421</v>
      </c>
      <c r="H25" s="800">
        <v>55.614499847366929</v>
      </c>
      <c r="I25" s="458">
        <f>H25*(D23+1)</f>
        <v>57.047022954730629</v>
      </c>
      <c r="J25" s="362"/>
      <c r="K25" s="396"/>
      <c r="L25" s="459" t="s">
        <v>421</v>
      </c>
      <c r="M25" s="514">
        <v>91.115293532128391</v>
      </c>
      <c r="N25" s="460">
        <f>M25*(D23+1)</f>
        <v>93.462249160197018</v>
      </c>
      <c r="O25" s="362"/>
    </row>
    <row r="26" spans="1:16" ht="16.5" thickBot="1" x14ac:dyDescent="0.3">
      <c r="B26" s="457"/>
      <c r="C26" s="457"/>
      <c r="D26" s="457"/>
      <c r="E26" s="457"/>
      <c r="F26" s="396"/>
      <c r="G26" s="450"/>
      <c r="H26" s="461">
        <f>H24+H25</f>
        <v>86.334499847366928</v>
      </c>
      <c r="I26" s="462">
        <f>I24+I25</f>
        <v>93.837022954730628</v>
      </c>
      <c r="J26" s="463">
        <f>(I26-H26)/H26</f>
        <v>8.6900637875097581E-2</v>
      </c>
      <c r="K26" s="464"/>
      <c r="L26" s="450"/>
      <c r="M26" s="465">
        <f>M25+M24</f>
        <v>121.83529353212839</v>
      </c>
      <c r="N26" s="466">
        <f>N25+N24</f>
        <v>130.25224916019701</v>
      </c>
      <c r="O26" s="463">
        <f>(N26-M26)/M26</f>
        <v>6.9084707592131672E-2</v>
      </c>
    </row>
    <row r="27" spans="1:16" x14ac:dyDescent="0.25">
      <c r="B27" s="467"/>
      <c r="C27" s="467"/>
      <c r="D27" s="467"/>
      <c r="E27" s="467"/>
      <c r="F27" s="468"/>
      <c r="G27" s="469"/>
      <c r="K27" s="396"/>
      <c r="L27" s="470"/>
      <c r="M27" s="471"/>
      <c r="N27" s="471"/>
      <c r="O27" s="472"/>
    </row>
    <row r="28" spans="1:16" x14ac:dyDescent="0.25">
      <c r="B28" s="348"/>
      <c r="C28" s="348"/>
      <c r="D28" s="350"/>
      <c r="E28" s="814"/>
      <c r="F28" s="396"/>
      <c r="G28" s="470"/>
      <c r="H28" s="471"/>
      <c r="I28" s="471"/>
      <c r="J28" s="473"/>
      <c r="K28" s="474"/>
      <c r="L28" s="469"/>
      <c r="M28" s="475"/>
      <c r="N28" s="476"/>
    </row>
    <row r="29" spans="1:16" x14ac:dyDescent="0.25">
      <c r="B29" s="348"/>
      <c r="C29" s="348"/>
      <c r="D29" s="350"/>
      <c r="E29" s="814"/>
      <c r="F29" s="474"/>
      <c r="G29" s="477"/>
      <c r="H29" s="478"/>
      <c r="I29" s="479"/>
      <c r="J29" s="362"/>
      <c r="K29" s="474"/>
      <c r="L29" s="469"/>
      <c r="M29" s="480"/>
      <c r="N29" s="481"/>
    </row>
    <row r="30" spans="1:16" x14ac:dyDescent="0.25">
      <c r="E30" s="316"/>
      <c r="F30" s="474"/>
      <c r="G30" s="477"/>
      <c r="H30" s="482"/>
      <c r="I30" s="482"/>
      <c r="J30" s="362"/>
      <c r="K30" s="396"/>
      <c r="L30" s="483"/>
      <c r="M30" s="484"/>
      <c r="N30" s="356"/>
      <c r="O30" s="485"/>
    </row>
    <row r="31" spans="1:16" x14ac:dyDescent="0.25">
      <c r="E31" s="316"/>
      <c r="F31" s="396"/>
      <c r="G31" s="483"/>
      <c r="H31" s="484"/>
      <c r="I31" s="486"/>
      <c r="J31" s="485"/>
    </row>
    <row r="34" spans="6:6" x14ac:dyDescent="0.25">
      <c r="F34" s="487"/>
    </row>
  </sheetData>
  <mergeCells count="10">
    <mergeCell ref="B21:C21"/>
    <mergeCell ref="G22:I22"/>
    <mergeCell ref="L22:N22"/>
    <mergeCell ref="B24:E24"/>
    <mergeCell ref="B2:E2"/>
    <mergeCell ref="G2:J2"/>
    <mergeCell ref="L2:O2"/>
    <mergeCell ref="B3:D3"/>
    <mergeCell ref="B10:D10"/>
    <mergeCell ref="B18:D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EB9F-1045-4F80-8BD3-EF960E6EA9A5}">
  <dimension ref="A1:O123"/>
  <sheetViews>
    <sheetView topLeftCell="A11" zoomScaleNormal="100" workbookViewId="0">
      <selection activeCell="R24" sqref="R24"/>
    </sheetView>
  </sheetViews>
  <sheetFormatPr defaultColWidth="8.85546875" defaultRowHeight="13.5" x14ac:dyDescent="0.25"/>
  <cols>
    <col min="1" max="1" width="38.42578125" style="376" customWidth="1"/>
    <col min="2" max="2" width="11.28515625" style="376" customWidth="1"/>
    <col min="3" max="3" width="8.140625" style="376" bestFit="1" customWidth="1"/>
    <col min="4" max="4" width="27.42578125" style="376" customWidth="1"/>
    <col min="5" max="5" width="5.85546875" style="376" customWidth="1"/>
    <col min="6" max="6" width="27.140625" style="376" bestFit="1" customWidth="1"/>
    <col min="7" max="7" width="11.140625" style="376" customWidth="1"/>
    <col min="8" max="8" width="11" style="376" bestFit="1" customWidth="1"/>
    <col min="9" max="9" width="11.140625" style="376" bestFit="1" customWidth="1"/>
    <col min="10" max="10" width="10.28515625" style="376" customWidth="1"/>
    <col min="11" max="11" width="27.140625" style="376" bestFit="1" customWidth="1"/>
    <col min="12" max="12" width="9.85546875" style="376" customWidth="1"/>
    <col min="13" max="13" width="11" style="376" bestFit="1" customWidth="1"/>
    <col min="14" max="14" width="10" style="376" bestFit="1" customWidth="1"/>
    <col min="15" max="15" width="9" style="376" bestFit="1" customWidth="1"/>
    <col min="16" max="16384" width="8.85546875" style="376"/>
  </cols>
  <sheetData>
    <row r="1" spans="1:15" ht="16.5" thickBot="1" x14ac:dyDescent="0.3">
      <c r="A1" s="707"/>
      <c r="B1" s="707"/>
      <c r="C1" s="707"/>
      <c r="D1" s="707"/>
      <c r="E1" s="707"/>
      <c r="F1" s="316"/>
      <c r="G1" s="316"/>
      <c r="H1" s="316"/>
      <c r="I1" s="316"/>
      <c r="J1" s="316"/>
      <c r="K1" s="316"/>
      <c r="L1" s="316"/>
      <c r="M1" s="316"/>
      <c r="N1" s="316"/>
      <c r="O1" s="316"/>
    </row>
    <row r="2" spans="1:15" ht="46.35" customHeight="1" thickBot="1" x14ac:dyDescent="0.3">
      <c r="A2" s="1172" t="s">
        <v>379</v>
      </c>
      <c r="B2" s="1173"/>
      <c r="C2" s="1173"/>
      <c r="D2" s="1174"/>
      <c r="E2" s="708"/>
      <c r="F2" s="1175" t="s">
        <v>456</v>
      </c>
      <c r="G2" s="1176"/>
      <c r="H2" s="1176"/>
      <c r="I2" s="1177"/>
      <c r="J2" s="316"/>
      <c r="K2" s="1159" t="s">
        <v>457</v>
      </c>
      <c r="L2" s="1160"/>
      <c r="M2" s="1160"/>
      <c r="N2" s="1161"/>
      <c r="O2" s="316"/>
    </row>
    <row r="3" spans="1:15" ht="31.5" x14ac:dyDescent="0.25">
      <c r="A3" s="1178" t="s">
        <v>382</v>
      </c>
      <c r="B3" s="1179"/>
      <c r="C3" s="1199"/>
      <c r="D3" s="709" t="s">
        <v>51</v>
      </c>
      <c r="E3" s="710"/>
      <c r="F3" s="318" t="s">
        <v>383</v>
      </c>
      <c r="G3" s="319">
        <v>8</v>
      </c>
      <c r="H3" s="320" t="s">
        <v>384</v>
      </c>
      <c r="I3" s="321">
        <v>2920</v>
      </c>
      <c r="J3" s="316"/>
      <c r="K3" s="318" t="s">
        <v>383</v>
      </c>
      <c r="L3" s="319">
        <v>1</v>
      </c>
      <c r="M3" s="320" t="s">
        <v>384</v>
      </c>
      <c r="N3" s="321">
        <v>365</v>
      </c>
      <c r="O3" s="316"/>
    </row>
    <row r="4" spans="1:15" ht="15.75" x14ac:dyDescent="0.25">
      <c r="A4" s="334" t="s">
        <v>385</v>
      </c>
      <c r="B4" s="402">
        <f>'[21]IFC &amp; Enhanced FC'!B3</f>
        <v>58616.063999999998</v>
      </c>
      <c r="C4" s="711"/>
      <c r="D4" s="640" t="s">
        <v>458</v>
      </c>
      <c r="E4" s="712"/>
      <c r="F4" s="322" t="s">
        <v>135</v>
      </c>
      <c r="G4" s="323" t="s">
        <v>7</v>
      </c>
      <c r="H4" s="323" t="s">
        <v>387</v>
      </c>
      <c r="I4" s="324" t="s">
        <v>76</v>
      </c>
      <c r="J4" s="316"/>
      <c r="K4" s="322" t="s">
        <v>135</v>
      </c>
      <c r="L4" s="323" t="s">
        <v>7</v>
      </c>
      <c r="M4" s="323" t="s">
        <v>387</v>
      </c>
      <c r="N4" s="324" t="s">
        <v>76</v>
      </c>
      <c r="O4" s="316"/>
    </row>
    <row r="5" spans="1:15" ht="15.75" x14ac:dyDescent="0.25">
      <c r="A5" s="334" t="s">
        <v>388</v>
      </c>
      <c r="B5" s="402">
        <f>'[21]IFC &amp; Enhanced FC'!B4</f>
        <v>53206.566400000003</v>
      </c>
      <c r="C5" s="713"/>
      <c r="D5" s="640" t="s">
        <v>458</v>
      </c>
      <c r="E5" s="712"/>
      <c r="F5" s="714" t="s">
        <v>385</v>
      </c>
      <c r="G5" s="715">
        <f>B4</f>
        <v>58616.063999999998</v>
      </c>
      <c r="H5" s="716">
        <v>0.32</v>
      </c>
      <c r="I5" s="717">
        <f>H5*G5</f>
        <v>18757.140479999998</v>
      </c>
      <c r="J5" s="316"/>
      <c r="K5" s="714" t="s">
        <v>388</v>
      </c>
      <c r="L5" s="715">
        <f>G6</f>
        <v>53206.566400000003</v>
      </c>
      <c r="M5" s="718">
        <v>6.8000000000000005E-2</v>
      </c>
      <c r="N5" s="717">
        <f>M5*L5</f>
        <v>3618.0465152000006</v>
      </c>
      <c r="O5" s="316"/>
    </row>
    <row r="6" spans="1:15" ht="31.5" x14ac:dyDescent="0.25">
      <c r="A6" s="409" t="s">
        <v>390</v>
      </c>
      <c r="B6" s="402">
        <f>'[21]IFC &amp; Enhanced FC'!B5</f>
        <v>64330.864000000001</v>
      </c>
      <c r="C6" s="713"/>
      <c r="D6" s="640" t="s">
        <v>458</v>
      </c>
      <c r="E6" s="710"/>
      <c r="F6" s="714" t="s">
        <v>388</v>
      </c>
      <c r="G6" s="715">
        <f t="shared" ref="G6:G12" si="0">B5</f>
        <v>53206.566400000003</v>
      </c>
      <c r="H6" s="716">
        <v>0.16666666666666666</v>
      </c>
      <c r="I6" s="717">
        <f t="shared" ref="I6:I12" si="1">H6*G6</f>
        <v>8867.761066666666</v>
      </c>
      <c r="J6" s="316"/>
      <c r="K6" s="719" t="s">
        <v>390</v>
      </c>
      <c r="L6" s="715">
        <f>G7</f>
        <v>64330.864000000001</v>
      </c>
      <c r="M6" s="718">
        <v>0.2</v>
      </c>
      <c r="N6" s="717">
        <f t="shared" ref="N6:N10" si="2">M6*L6</f>
        <v>12866.1728</v>
      </c>
      <c r="O6" s="316"/>
    </row>
    <row r="7" spans="1:15" ht="31.5" x14ac:dyDescent="0.25">
      <c r="A7" s="334" t="s">
        <v>392</v>
      </c>
      <c r="B7" s="402">
        <f>'[21]IFC &amp; Enhanced FC'!B6</f>
        <v>41600</v>
      </c>
      <c r="C7" s="713"/>
      <c r="D7" s="640" t="s">
        <v>458</v>
      </c>
      <c r="E7" s="720"/>
      <c r="F7" s="719" t="s">
        <v>390</v>
      </c>
      <c r="G7" s="715">
        <f t="shared" si="0"/>
        <v>64330.864000000001</v>
      </c>
      <c r="H7" s="716">
        <v>1.25</v>
      </c>
      <c r="I7" s="717">
        <f t="shared" si="1"/>
        <v>80413.58</v>
      </c>
      <c r="J7" s="316"/>
      <c r="K7" s="714" t="s">
        <v>392</v>
      </c>
      <c r="L7" s="715">
        <f>G8</f>
        <v>41600</v>
      </c>
      <c r="M7" s="718">
        <v>0.3</v>
      </c>
      <c r="N7" s="717">
        <f t="shared" si="2"/>
        <v>12480</v>
      </c>
      <c r="O7" s="316"/>
    </row>
    <row r="8" spans="1:15" ht="15.75" x14ac:dyDescent="0.25">
      <c r="A8" s="334" t="s">
        <v>394</v>
      </c>
      <c r="B8" s="414">
        <f>'[21]IFC &amp; Enhanced FC'!B7</f>
        <v>79415.232000000018</v>
      </c>
      <c r="C8" s="713"/>
      <c r="D8" s="640" t="s">
        <v>458</v>
      </c>
      <c r="E8" s="721"/>
      <c r="F8" s="714" t="s">
        <v>392</v>
      </c>
      <c r="G8" s="715">
        <f t="shared" si="0"/>
        <v>41600</v>
      </c>
      <c r="H8" s="722">
        <v>1</v>
      </c>
      <c r="I8" s="717">
        <f t="shared" si="1"/>
        <v>41600</v>
      </c>
      <c r="J8" s="316"/>
      <c r="K8" s="714" t="s">
        <v>394</v>
      </c>
      <c r="L8" s="715">
        <f>G9</f>
        <v>79415.232000000018</v>
      </c>
      <c r="M8" s="723">
        <v>0.03</v>
      </c>
      <c r="N8" s="717">
        <f t="shared" si="2"/>
        <v>2382.4569600000004</v>
      </c>
      <c r="O8" s="316"/>
    </row>
    <row r="9" spans="1:15" ht="15.75" x14ac:dyDescent="0.25">
      <c r="A9" s="325" t="s">
        <v>443</v>
      </c>
      <c r="B9" s="402">
        <f>'[21]M2022 BLS SALARY CHART (53_PCT)'!C18</f>
        <v>80606.448000000004</v>
      </c>
      <c r="C9" s="713"/>
      <c r="D9" s="640" t="s">
        <v>458</v>
      </c>
      <c r="E9" s="721"/>
      <c r="F9" s="714" t="s">
        <v>394</v>
      </c>
      <c r="G9" s="715">
        <f t="shared" si="0"/>
        <v>79415.232000000018</v>
      </c>
      <c r="H9" s="722">
        <v>0.1</v>
      </c>
      <c r="I9" s="717">
        <f t="shared" si="1"/>
        <v>7941.5232000000024</v>
      </c>
      <c r="J9" s="316"/>
      <c r="K9" s="714" t="s">
        <v>459</v>
      </c>
      <c r="L9" s="715">
        <f>G10</f>
        <v>80606.448000000004</v>
      </c>
      <c r="M9" s="723">
        <v>0.1</v>
      </c>
      <c r="N9" s="717">
        <f t="shared" si="2"/>
        <v>8060.6448000000009</v>
      </c>
      <c r="O9" s="316"/>
    </row>
    <row r="10" spans="1:15" ht="16.5" thickBot="1" x14ac:dyDescent="0.3">
      <c r="A10" s="325" t="s">
        <v>460</v>
      </c>
      <c r="B10" s="402">
        <f>'[21]M2022 BLS SALARY CHART (53_PCT)'!C14</f>
        <v>64330.864000000001</v>
      </c>
      <c r="C10" s="713"/>
      <c r="D10" s="640" t="s">
        <v>458</v>
      </c>
      <c r="E10" s="721"/>
      <c r="F10" s="714" t="s">
        <v>443</v>
      </c>
      <c r="G10" s="715">
        <f t="shared" si="0"/>
        <v>80606.448000000004</v>
      </c>
      <c r="H10" s="722">
        <v>0.15</v>
      </c>
      <c r="I10" s="717">
        <f t="shared" si="1"/>
        <v>12090.967200000001</v>
      </c>
      <c r="J10" s="319"/>
      <c r="K10" s="714" t="s">
        <v>461</v>
      </c>
      <c r="L10" s="715">
        <f>G5</f>
        <v>58616.063999999998</v>
      </c>
      <c r="M10" s="723">
        <v>0.17499999999999999</v>
      </c>
      <c r="N10" s="717">
        <f t="shared" si="2"/>
        <v>10257.811199999998</v>
      </c>
      <c r="O10" s="316"/>
    </row>
    <row r="11" spans="1:15" ht="16.5" thickBot="1" x14ac:dyDescent="0.3">
      <c r="A11" s="336" t="s">
        <v>462</v>
      </c>
      <c r="B11" s="724">
        <f>'[21]M2022 BLS SALARY CHART (53_PCT)'!C32</f>
        <v>102258.624</v>
      </c>
      <c r="C11" s="725"/>
      <c r="D11" s="726" t="s">
        <v>458</v>
      </c>
      <c r="E11" s="721"/>
      <c r="F11" s="714" t="s">
        <v>460</v>
      </c>
      <c r="G11" s="715">
        <f t="shared" si="0"/>
        <v>64330.864000000001</v>
      </c>
      <c r="H11" s="722">
        <v>0.5</v>
      </c>
      <c r="I11" s="717">
        <f t="shared" si="1"/>
        <v>32165.432000000001</v>
      </c>
      <c r="J11" s="316"/>
      <c r="K11" s="727" t="s">
        <v>10</v>
      </c>
      <c r="L11" s="728"/>
      <c r="M11" s="729">
        <f>SUM(M5:M10)</f>
        <v>0.873</v>
      </c>
      <c r="N11" s="730">
        <f>SUM(N5:N10)</f>
        <v>49665.132275199998</v>
      </c>
      <c r="O11" s="316"/>
    </row>
    <row r="12" spans="1:15" ht="16.5" thickBot="1" x14ac:dyDescent="0.3">
      <c r="A12" s="1180" t="s">
        <v>438</v>
      </c>
      <c r="B12" s="1181"/>
      <c r="C12" s="1200"/>
      <c r="D12" s="640"/>
      <c r="E12" s="731"/>
      <c r="F12" s="714" t="s">
        <v>462</v>
      </c>
      <c r="G12" s="715">
        <f t="shared" si="0"/>
        <v>102258.624</v>
      </c>
      <c r="H12" s="628">
        <v>0.1</v>
      </c>
      <c r="I12" s="717">
        <f t="shared" si="1"/>
        <v>10225.8624</v>
      </c>
      <c r="J12" s="316"/>
      <c r="K12" s="732" t="s">
        <v>11</v>
      </c>
      <c r="L12" s="733"/>
      <c r="M12" s="734">
        <f>H14</f>
        <v>0.27379999999999999</v>
      </c>
      <c r="N12" s="735">
        <f>N11*M12</f>
        <v>13598.313216949758</v>
      </c>
      <c r="O12" s="316"/>
    </row>
    <row r="13" spans="1:15" ht="16.5" thickBot="1" x14ac:dyDescent="0.3">
      <c r="A13" s="630" t="s">
        <v>439</v>
      </c>
      <c r="B13" s="319" t="s">
        <v>440</v>
      </c>
      <c r="C13" s="736"/>
      <c r="D13" s="640"/>
      <c r="E13" s="737"/>
      <c r="F13" s="727" t="s">
        <v>10</v>
      </c>
      <c r="G13" s="738"/>
      <c r="H13" s="729">
        <f>SUM(H5:H12)</f>
        <v>3.5866666666666669</v>
      </c>
      <c r="I13" s="730">
        <f>SUM(I5:I12)</f>
        <v>212062.26634666667</v>
      </c>
      <c r="J13" s="316"/>
      <c r="K13" s="739" t="s">
        <v>402</v>
      </c>
      <c r="L13" s="740"/>
      <c r="M13" s="740"/>
      <c r="N13" s="741">
        <f>N12+N11</f>
        <v>63263.445492149753</v>
      </c>
      <c r="O13" s="316"/>
    </row>
    <row r="14" spans="1:15" ht="15.75" x14ac:dyDescent="0.25">
      <c r="A14" s="334" t="s">
        <v>385</v>
      </c>
      <c r="B14" s="423">
        <v>0.04</v>
      </c>
      <c r="C14" s="742"/>
      <c r="D14" s="640" t="s">
        <v>404</v>
      </c>
      <c r="E14" s="743"/>
      <c r="F14" s="732" t="s">
        <v>11</v>
      </c>
      <c r="G14" s="733"/>
      <c r="H14" s="734">
        <f>C23</f>
        <v>0.27379999999999999</v>
      </c>
      <c r="I14" s="735">
        <f>H14*I13</f>
        <v>58062.648525717334</v>
      </c>
      <c r="J14" s="316"/>
      <c r="K14" s="744" t="s">
        <v>222</v>
      </c>
      <c r="L14" s="745"/>
      <c r="M14" s="746">
        <f>H16</f>
        <v>0.12</v>
      </c>
      <c r="N14" s="747">
        <f>N13*M14</f>
        <v>7591.6134590579704</v>
      </c>
      <c r="O14" s="316"/>
    </row>
    <row r="15" spans="1:15" ht="16.5" thickBot="1" x14ac:dyDescent="0.3">
      <c r="A15" s="334" t="s">
        <v>388</v>
      </c>
      <c r="B15" s="423">
        <v>2.0833333333333332E-2</v>
      </c>
      <c r="C15" s="748"/>
      <c r="D15" s="640" t="s">
        <v>404</v>
      </c>
      <c r="E15" s="743"/>
      <c r="F15" s="739" t="s">
        <v>402</v>
      </c>
      <c r="G15" s="740"/>
      <c r="H15" s="740"/>
      <c r="I15" s="741">
        <f>I14+I13</f>
        <v>270124.91487238399</v>
      </c>
      <c r="J15" s="316"/>
      <c r="K15" s="744">
        <f>A25</f>
        <v>0</v>
      </c>
      <c r="L15" s="745"/>
      <c r="M15" s="746">
        <f>C25</f>
        <v>0</v>
      </c>
      <c r="N15" s="747">
        <f>N13*M15</f>
        <v>0</v>
      </c>
      <c r="O15" s="316"/>
    </row>
    <row r="16" spans="1:15" ht="17.25" thickTop="1" thickBot="1" x14ac:dyDescent="0.3">
      <c r="A16" s="334" t="s">
        <v>390</v>
      </c>
      <c r="B16" s="423">
        <v>1.25</v>
      </c>
      <c r="C16" s="742"/>
      <c r="D16" s="640" t="s">
        <v>404</v>
      </c>
      <c r="E16" s="743"/>
      <c r="F16" s="744" t="s">
        <v>222</v>
      </c>
      <c r="G16" s="745"/>
      <c r="H16" s="749">
        <f>C24</f>
        <v>0.12</v>
      </c>
      <c r="I16" s="747">
        <f>I15*H16</f>
        <v>32414.989784686077</v>
      </c>
      <c r="J16" s="316"/>
      <c r="K16" s="750" t="s">
        <v>412</v>
      </c>
      <c r="L16" s="751"/>
      <c r="M16" s="751"/>
      <c r="N16" s="752">
        <f>N14+N13+N15</f>
        <v>70855.058951207728</v>
      </c>
      <c r="O16" s="316"/>
    </row>
    <row r="17" spans="1:15" ht="16.5" thickTop="1" x14ac:dyDescent="0.25">
      <c r="A17" s="334" t="s">
        <v>392</v>
      </c>
      <c r="B17" s="423">
        <v>0.125</v>
      </c>
      <c r="C17" s="742"/>
      <c r="D17" s="640" t="s">
        <v>404</v>
      </c>
      <c r="E17" s="743"/>
      <c r="F17" s="744" t="s">
        <v>409</v>
      </c>
      <c r="G17" s="745"/>
      <c r="H17" s="753">
        <f>C26</f>
        <v>3.0283759999999997</v>
      </c>
      <c r="I17" s="747">
        <f>H17*I3</f>
        <v>8842.8579199999986</v>
      </c>
      <c r="J17" s="316"/>
      <c r="K17" s="754" t="str">
        <f>F20</f>
        <v>CAF</v>
      </c>
      <c r="L17" s="755"/>
      <c r="M17" s="756">
        <f>H20</f>
        <v>2.5758086673353865E-2</v>
      </c>
      <c r="N17" s="757">
        <f>N13*M17</f>
        <v>1629.5453122417912</v>
      </c>
      <c r="O17" s="316"/>
    </row>
    <row r="18" spans="1:15" ht="16.5" thickBot="1" x14ac:dyDescent="0.3">
      <c r="A18" s="334" t="s">
        <v>394</v>
      </c>
      <c r="B18" s="423">
        <v>1.2500000000000001E-2</v>
      </c>
      <c r="C18" s="742"/>
      <c r="D18" s="640" t="s">
        <v>404</v>
      </c>
      <c r="E18" s="743"/>
      <c r="F18" s="744">
        <f>A25</f>
        <v>0</v>
      </c>
      <c r="G18" s="745"/>
      <c r="H18" s="749">
        <f>C25</f>
        <v>0</v>
      </c>
      <c r="I18" s="747">
        <f>(I15)*H18</f>
        <v>0</v>
      </c>
      <c r="J18" s="316"/>
      <c r="K18" s="758" t="s">
        <v>414</v>
      </c>
      <c r="L18" s="759"/>
      <c r="M18" s="759"/>
      <c r="N18" s="760">
        <f>(N17+N16)/N3</f>
        <v>198.58795688616308</v>
      </c>
      <c r="O18" s="316"/>
    </row>
    <row r="19" spans="1:15" ht="16.5" thickBot="1" x14ac:dyDescent="0.3">
      <c r="A19" s="334" t="s">
        <v>443</v>
      </c>
      <c r="B19" s="423">
        <v>0.15</v>
      </c>
      <c r="C19" s="742"/>
      <c r="D19" s="640" t="s">
        <v>404</v>
      </c>
      <c r="E19" s="743"/>
      <c r="F19" s="761" t="s">
        <v>412</v>
      </c>
      <c r="G19" s="762"/>
      <c r="H19" s="762"/>
      <c r="I19" s="763">
        <f>I17+I16+I15+I18</f>
        <v>311382.76257707004</v>
      </c>
      <c r="J19" s="316"/>
      <c r="K19" s="731"/>
      <c r="L19" s="731"/>
      <c r="M19" s="764" t="s">
        <v>407</v>
      </c>
      <c r="N19" s="765">
        <v>160.90762290843028</v>
      </c>
      <c r="O19" s="766">
        <f>(N18-N19)/N19</f>
        <v>0.23417370349928057</v>
      </c>
    </row>
    <row r="20" spans="1:15" ht="15.75" x14ac:dyDescent="0.25">
      <c r="A20" s="334" t="s">
        <v>460</v>
      </c>
      <c r="B20" s="423">
        <v>0.5</v>
      </c>
      <c r="C20" s="742"/>
      <c r="D20" s="640" t="s">
        <v>404</v>
      </c>
      <c r="E20" s="743"/>
      <c r="F20" s="744" t="str">
        <f>A27</f>
        <v>CAF</v>
      </c>
      <c r="G20" s="767"/>
      <c r="H20" s="749">
        <f>C27</f>
        <v>2.5758086673353865E-2</v>
      </c>
      <c r="I20" s="768">
        <f>(I15+I17)*H20</f>
        <v>7185.6760706587147</v>
      </c>
      <c r="J20" s="316"/>
      <c r="K20" s="769"/>
      <c r="L20" s="769"/>
      <c r="M20" s="769"/>
      <c r="N20" s="769"/>
      <c r="O20" s="316"/>
    </row>
    <row r="21" spans="1:15" ht="16.5" thickBot="1" x14ac:dyDescent="0.3">
      <c r="A21" s="336" t="s">
        <v>462</v>
      </c>
      <c r="B21" s="431">
        <v>0.1</v>
      </c>
      <c r="C21" s="770"/>
      <c r="D21" s="771" t="s">
        <v>404</v>
      </c>
      <c r="E21" s="743"/>
      <c r="F21" s="758" t="s">
        <v>414</v>
      </c>
      <c r="G21" s="759"/>
      <c r="H21" s="759"/>
      <c r="I21" s="760">
        <f>(I19+I20)/I3</f>
        <v>109.09878035881123</v>
      </c>
      <c r="J21" s="316"/>
      <c r="K21" s="769"/>
      <c r="L21" s="769"/>
      <c r="M21" s="769"/>
      <c r="N21" s="769"/>
      <c r="O21" s="316"/>
    </row>
    <row r="22" spans="1:15" ht="15.75" x14ac:dyDescent="0.25">
      <c r="A22" s="1201" t="s">
        <v>396</v>
      </c>
      <c r="B22" s="1202"/>
      <c r="C22" s="1203"/>
      <c r="D22" s="640"/>
      <c r="E22" s="772"/>
      <c r="F22" s="743"/>
      <c r="G22" s="707"/>
      <c r="H22" s="764" t="s">
        <v>407</v>
      </c>
      <c r="I22" s="765">
        <v>90.594298590072384</v>
      </c>
      <c r="J22" s="766">
        <f>(I21-I22)/I22</f>
        <v>0.20425658189009505</v>
      </c>
      <c r="K22" s="769"/>
      <c r="L22" s="769"/>
      <c r="M22" s="769"/>
      <c r="N22" s="769"/>
      <c r="O22" s="316"/>
    </row>
    <row r="23" spans="1:15" ht="16.5" thickBot="1" x14ac:dyDescent="0.3">
      <c r="A23" s="744" t="s">
        <v>52</v>
      </c>
      <c r="B23" s="773"/>
      <c r="C23" s="774">
        <f>'[21]IFC &amp; Enhanced FC'!C9</f>
        <v>0.27379999999999999</v>
      </c>
      <c r="D23" s="640" t="s">
        <v>397</v>
      </c>
      <c r="E23" s="775"/>
      <c r="F23" s="743"/>
      <c r="G23" s="707"/>
      <c r="H23" s="707"/>
      <c r="I23" s="707"/>
      <c r="J23" s="316"/>
      <c r="K23" s="316"/>
      <c r="L23" s="316"/>
      <c r="M23" s="316"/>
      <c r="N23" s="316"/>
      <c r="O23" s="316"/>
    </row>
    <row r="24" spans="1:15" ht="32.25" thickBot="1" x14ac:dyDescent="0.3">
      <c r="A24" s="744" t="s">
        <v>398</v>
      </c>
      <c r="B24" s="707"/>
      <c r="C24" s="776">
        <f>'[21]IFC &amp; Enhanced FC'!C10</f>
        <v>0.12</v>
      </c>
      <c r="D24" s="640" t="s">
        <v>397</v>
      </c>
      <c r="E24" s="777"/>
      <c r="F24" s="778" t="s">
        <v>463</v>
      </c>
      <c r="G24" s="779" t="s">
        <v>417</v>
      </c>
      <c r="H24" s="780" t="s">
        <v>418</v>
      </c>
      <c r="I24" s="316"/>
      <c r="J24" s="316"/>
      <c r="K24" s="781" t="s">
        <v>464</v>
      </c>
      <c r="L24" s="779" t="s">
        <v>417</v>
      </c>
      <c r="M24" s="780" t="s">
        <v>418</v>
      </c>
      <c r="N24" s="316"/>
      <c r="O24" s="316"/>
    </row>
    <row r="25" spans="1:15" ht="15.75" x14ac:dyDescent="0.25">
      <c r="A25" s="782">
        <f>'[21]IFC Family Residential'!B23</f>
        <v>0</v>
      </c>
      <c r="B25" s="707"/>
      <c r="C25" s="783">
        <f>'[21]IFC Family Residential'!D23</f>
        <v>0</v>
      </c>
      <c r="D25" s="701" t="s">
        <v>404</v>
      </c>
      <c r="E25" s="777"/>
      <c r="F25" s="334" t="s">
        <v>465</v>
      </c>
      <c r="G25" s="784">
        <v>30.72</v>
      </c>
      <c r="H25" s="785">
        <f>'[21]IFC &amp; Enhanced FC'!C16</f>
        <v>36.79</v>
      </c>
      <c r="I25" s="316"/>
      <c r="J25" s="316"/>
      <c r="K25" s="334" t="s">
        <v>465</v>
      </c>
      <c r="L25" s="786">
        <f>G25</f>
        <v>30.72</v>
      </c>
      <c r="M25" s="785">
        <f>H25</f>
        <v>36.79</v>
      </c>
      <c r="N25" s="316"/>
      <c r="O25" s="316"/>
    </row>
    <row r="26" spans="1:15" ht="32.25" thickBot="1" x14ac:dyDescent="0.3">
      <c r="A26" s="1197" t="s">
        <v>453</v>
      </c>
      <c r="B26" s="1198"/>
      <c r="C26" s="787">
        <f>2.96*(2.31%+1)</f>
        <v>3.0283759999999997</v>
      </c>
      <c r="D26" s="640" t="s">
        <v>466</v>
      </c>
      <c r="E26" s="788"/>
      <c r="F26" s="334" t="s">
        <v>421</v>
      </c>
      <c r="G26" s="784">
        <v>44.514107585705212</v>
      </c>
      <c r="H26" s="789">
        <f>G26*(C27+1)</f>
        <v>45.660705827084804</v>
      </c>
      <c r="I26" s="316"/>
      <c r="J26" s="316"/>
      <c r="K26" s="334" t="s">
        <v>421</v>
      </c>
      <c r="L26" s="786">
        <v>37.055871679021898</v>
      </c>
      <c r="M26" s="789">
        <f>L26*(C27+1)</f>
        <v>38.010360033486819</v>
      </c>
      <c r="N26" s="316"/>
      <c r="O26" s="316"/>
    </row>
    <row r="27" spans="1:15" ht="16.5" thickBot="1" x14ac:dyDescent="0.3">
      <c r="A27" s="790" t="s">
        <v>57</v>
      </c>
      <c r="B27" s="791"/>
      <c r="C27" s="792">
        <f>'[21]IFC &amp; Enhanced FC'!C14</f>
        <v>2.5758086673353865E-2</v>
      </c>
      <c r="D27" s="793" t="s">
        <v>467</v>
      </c>
      <c r="E27" s="777"/>
      <c r="F27" s="364"/>
      <c r="G27" s="794">
        <f>G25+G26</f>
        <v>75.234107585705203</v>
      </c>
      <c r="H27" s="795">
        <f>SUM(H25:H26)</f>
        <v>82.450705827084803</v>
      </c>
      <c r="I27" s="796">
        <f>(H27-G27)/G27</f>
        <v>9.5921895971964502E-2</v>
      </c>
      <c r="J27" s="316"/>
      <c r="K27" s="364"/>
      <c r="L27" s="794">
        <f>SUM(L25:L26)</f>
        <v>67.77587167902189</v>
      </c>
      <c r="M27" s="795">
        <f>SUM(M25:M26)</f>
        <v>74.800360033486811</v>
      </c>
      <c r="N27" s="797">
        <f>(M27-L27)/L27</f>
        <v>0.10364290684053501</v>
      </c>
      <c r="O27" s="316"/>
    </row>
    <row r="28" spans="1:15" ht="15.75" x14ac:dyDescent="0.25">
      <c r="A28" s="798"/>
      <c r="B28" s="798"/>
      <c r="C28" s="798"/>
      <c r="D28" s="798"/>
      <c r="E28" s="798"/>
      <c r="F28" s="707"/>
      <c r="G28" s="707"/>
      <c r="H28" s="707"/>
      <c r="I28" s="707"/>
      <c r="J28" s="316"/>
      <c r="K28" s="316"/>
      <c r="L28" s="316"/>
      <c r="M28" s="316"/>
      <c r="N28" s="316"/>
      <c r="O28" s="316"/>
    </row>
    <row r="29" spans="1:15" ht="15.75" x14ac:dyDescent="0.25">
      <c r="A29" s="743"/>
      <c r="B29" s="743"/>
      <c r="C29" s="743"/>
      <c r="D29" s="743"/>
      <c r="E29" s="743"/>
      <c r="F29" s="707"/>
      <c r="G29" s="707"/>
      <c r="H29" s="707"/>
      <c r="I29" s="707"/>
      <c r="J29" s="316"/>
      <c r="K29" s="316"/>
      <c r="L29" s="316"/>
      <c r="M29" s="316"/>
      <c r="N29" s="316"/>
      <c r="O29" s="316"/>
    </row>
    <row r="30" spans="1:15" hidden="1" x14ac:dyDescent="0.25">
      <c r="E30" s="380"/>
      <c r="F30" s="375"/>
      <c r="G30" s="375"/>
      <c r="H30" s="375"/>
      <c r="I30" s="375"/>
    </row>
    <row r="31" spans="1:15" x14ac:dyDescent="0.25">
      <c r="F31" s="387"/>
      <c r="G31" s="378"/>
      <c r="H31" s="378"/>
      <c r="I31" s="388"/>
    </row>
    <row r="32" spans="1:15" x14ac:dyDescent="0.25">
      <c r="F32" s="389"/>
      <c r="G32" s="390"/>
      <c r="H32" s="391"/>
    </row>
    <row r="33" spans="5:9" x14ac:dyDescent="0.25">
      <c r="F33" s="389"/>
      <c r="G33" s="392"/>
      <c r="H33" s="392"/>
    </row>
    <row r="34" spans="5:9" x14ac:dyDescent="0.25">
      <c r="F34" s="393"/>
      <c r="G34" s="394"/>
      <c r="H34" s="394"/>
      <c r="I34" s="395"/>
    </row>
    <row r="35" spans="5:9" x14ac:dyDescent="0.25">
      <c r="F35" s="386"/>
    </row>
    <row r="37" spans="5:9" x14ac:dyDescent="0.25">
      <c r="E37" s="380"/>
    </row>
    <row r="38" spans="5:9" x14ac:dyDescent="0.25">
      <c r="E38" s="380"/>
    </row>
    <row r="115" spans="1:6" x14ac:dyDescent="0.25">
      <c r="A115" s="375"/>
      <c r="B115" s="375"/>
      <c r="C115" s="375"/>
      <c r="D115" s="375"/>
    </row>
    <row r="121" spans="1:6" x14ac:dyDescent="0.25">
      <c r="E121" s="375"/>
    </row>
    <row r="123" spans="1:6" x14ac:dyDescent="0.25">
      <c r="F123" s="375"/>
    </row>
  </sheetData>
  <mergeCells count="7">
    <mergeCell ref="A26:B26"/>
    <mergeCell ref="A2:D2"/>
    <mergeCell ref="F2:I2"/>
    <mergeCell ref="K2:N2"/>
    <mergeCell ref="A3:C3"/>
    <mergeCell ref="A12:C12"/>
    <mergeCell ref="A22:C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A896-E4FC-4FEA-B577-FEAA2D85BF4F}">
  <dimension ref="A1:L28"/>
  <sheetViews>
    <sheetView workbookViewId="0">
      <selection activeCell="G28" sqref="G28"/>
    </sheetView>
  </sheetViews>
  <sheetFormatPr defaultRowHeight="15" x14ac:dyDescent="0.25"/>
  <cols>
    <col min="1" max="1" width="34.42578125" customWidth="1"/>
    <col min="2" max="3" width="16.42578125" customWidth="1"/>
    <col min="4" max="4" width="32.5703125" customWidth="1"/>
    <col min="5" max="5" width="10.140625" customWidth="1"/>
    <col min="6" max="6" width="32.5703125" customWidth="1"/>
    <col min="7" max="9" width="16.42578125" customWidth="1"/>
  </cols>
  <sheetData>
    <row r="1" spans="1:12" ht="16.5" thickBot="1" x14ac:dyDescent="0.3">
      <c r="A1" s="1204" t="s">
        <v>379</v>
      </c>
      <c r="B1" s="1205"/>
      <c r="C1" s="1205"/>
      <c r="D1" s="1206"/>
      <c r="E1" s="453"/>
      <c r="F1" s="1207" t="s">
        <v>435</v>
      </c>
      <c r="G1" s="1208"/>
      <c r="H1" s="1208"/>
      <c r="I1" s="1209"/>
      <c r="J1" s="362"/>
      <c r="K1" s="362"/>
      <c r="L1" s="362"/>
    </row>
    <row r="2" spans="1:12" ht="15.75" x14ac:dyDescent="0.25">
      <c r="A2" s="1210" t="s">
        <v>382</v>
      </c>
      <c r="B2" s="1211"/>
      <c r="C2" s="1212"/>
      <c r="D2" s="624" t="s">
        <v>51</v>
      </c>
      <c r="E2" s="494"/>
      <c r="F2" s="647" t="s">
        <v>383</v>
      </c>
      <c r="G2" s="471">
        <v>4</v>
      </c>
      <c r="H2" s="648" t="s">
        <v>384</v>
      </c>
      <c r="I2" s="649">
        <v>1460</v>
      </c>
      <c r="J2" s="362"/>
      <c r="K2" s="362"/>
      <c r="L2" s="362"/>
    </row>
    <row r="3" spans="1:12" ht="15.75" x14ac:dyDescent="0.25">
      <c r="A3" s="452" t="s">
        <v>385</v>
      </c>
      <c r="B3" s="650">
        <f>'M2022 BLS SALARY CHART (53_PCT)'!C12</f>
        <v>58616.063999999998</v>
      </c>
      <c r="C3" s="625"/>
      <c r="D3" s="651" t="str">
        <f>'[21]IFC &amp; Enhanced FC'!D3</f>
        <v>May 2022 BLS Case Worker</v>
      </c>
      <c r="E3" s="467"/>
      <c r="F3" s="322" t="s">
        <v>135</v>
      </c>
      <c r="G3" s="323" t="s">
        <v>7</v>
      </c>
      <c r="H3" s="323" t="s">
        <v>387</v>
      </c>
      <c r="I3" s="324" t="s">
        <v>76</v>
      </c>
      <c r="J3" s="362"/>
      <c r="K3" s="362"/>
      <c r="L3" s="362"/>
    </row>
    <row r="4" spans="1:12" ht="15.75" x14ac:dyDescent="0.25">
      <c r="A4" s="452" t="s">
        <v>388</v>
      </c>
      <c r="B4" s="650">
        <f>'M2022 BLS SALARY CHART (53_PCT)'!C8</f>
        <v>53206.566400000003</v>
      </c>
      <c r="C4" s="625"/>
      <c r="D4" s="651" t="str">
        <f>'[21]IFC &amp; Enhanced FC'!D4</f>
        <v>May 2022 BLS DC III</v>
      </c>
      <c r="E4" s="467"/>
      <c r="F4" s="652" t="s">
        <v>385</v>
      </c>
      <c r="G4" s="653">
        <f>B3</f>
        <v>58616.063999999998</v>
      </c>
      <c r="H4" s="654">
        <v>0.17</v>
      </c>
      <c r="I4" s="655">
        <f>H4*G4</f>
        <v>9964.730880000001</v>
      </c>
      <c r="J4" s="362"/>
      <c r="K4" s="362"/>
      <c r="L4" s="362"/>
    </row>
    <row r="5" spans="1:12" ht="15.75" x14ac:dyDescent="0.25">
      <c r="A5" s="409" t="s">
        <v>436</v>
      </c>
      <c r="B5" s="650">
        <f>'M2022 BLS SALARY CHART (53_PCT)'!C14</f>
        <v>64330.864000000001</v>
      </c>
      <c r="C5" s="625"/>
      <c r="D5" s="651" t="str">
        <f>'[21]IFC &amp; Enhanced FC'!D5</f>
        <v xml:space="preserve">May 2022 BLS Case Manager </v>
      </c>
      <c r="E5" s="494"/>
      <c r="F5" s="652" t="s">
        <v>388</v>
      </c>
      <c r="G5" s="653">
        <f t="shared" ref="G5:G8" si="0">B4</f>
        <v>53206.566400000003</v>
      </c>
      <c r="H5" s="654">
        <v>0.3</v>
      </c>
      <c r="I5" s="655">
        <f t="shared" ref="I5:I8" si="1">H5*G5</f>
        <v>15961.96992</v>
      </c>
      <c r="J5" s="362"/>
      <c r="K5" s="362"/>
      <c r="L5" s="362"/>
    </row>
    <row r="6" spans="1:12" ht="15.75" x14ac:dyDescent="0.25">
      <c r="A6" s="452" t="s">
        <v>392</v>
      </c>
      <c r="B6" s="650">
        <f>'M2022 BLS SALARY CHART (53_PCT)'!C6</f>
        <v>41600</v>
      </c>
      <c r="C6" s="627"/>
      <c r="D6" s="651" t="str">
        <f>'[21]IFC &amp; Enhanced FC'!D6</f>
        <v>May 2022 BLS DC</v>
      </c>
      <c r="E6" s="471"/>
      <c r="F6" s="656" t="s">
        <v>437</v>
      </c>
      <c r="G6" s="653">
        <f t="shared" si="0"/>
        <v>64330.864000000001</v>
      </c>
      <c r="H6" s="654">
        <v>3</v>
      </c>
      <c r="I6" s="655">
        <f t="shared" si="1"/>
        <v>192992.592</v>
      </c>
      <c r="J6" s="362"/>
      <c r="K6" s="362"/>
      <c r="L6" s="362"/>
    </row>
    <row r="7" spans="1:12" ht="16.5" customHeight="1" x14ac:dyDescent="0.25">
      <c r="A7" s="452" t="s">
        <v>394</v>
      </c>
      <c r="B7" s="650">
        <f>'M2022 BLS SALARY CHART (53_PCT)'!C22</f>
        <v>79415.232000000018</v>
      </c>
      <c r="C7" s="349"/>
      <c r="D7" s="651" t="str">
        <f>'[21]IFC &amp; Enhanced FC'!D7</f>
        <v>May 2022 BLS Program Management</v>
      </c>
      <c r="E7" s="473"/>
      <c r="F7" s="652" t="s">
        <v>392</v>
      </c>
      <c r="G7" s="653">
        <f t="shared" si="0"/>
        <v>41600</v>
      </c>
      <c r="H7" s="657">
        <v>0.17</v>
      </c>
      <c r="I7" s="655">
        <f t="shared" si="1"/>
        <v>7072.0000000000009</v>
      </c>
      <c r="J7" s="362"/>
      <c r="K7" s="362"/>
      <c r="L7" s="362"/>
    </row>
    <row r="8" spans="1:12" ht="16.5" thickBot="1" x14ac:dyDescent="0.3">
      <c r="A8" s="1213" t="s">
        <v>438</v>
      </c>
      <c r="B8" s="1214"/>
      <c r="C8" s="1215"/>
      <c r="D8" s="658"/>
      <c r="E8" s="473"/>
      <c r="F8" s="652" t="s">
        <v>394</v>
      </c>
      <c r="G8" s="653">
        <f t="shared" si="0"/>
        <v>79415.232000000018</v>
      </c>
      <c r="H8" s="657">
        <v>0.1</v>
      </c>
      <c r="I8" s="655">
        <f t="shared" si="1"/>
        <v>7941.5232000000024</v>
      </c>
      <c r="J8" s="362"/>
      <c r="K8" s="362"/>
      <c r="L8" s="362"/>
    </row>
    <row r="9" spans="1:12" ht="16.5" thickBot="1" x14ac:dyDescent="0.3">
      <c r="A9" s="659" t="s">
        <v>439</v>
      </c>
      <c r="B9" s="471" t="s">
        <v>440</v>
      </c>
      <c r="C9" s="660" t="s">
        <v>441</v>
      </c>
      <c r="D9" s="661"/>
      <c r="E9" s="473"/>
      <c r="F9" s="662" t="s">
        <v>10</v>
      </c>
      <c r="G9" s="663"/>
      <c r="H9" s="664">
        <f>SUM(H4:H8)</f>
        <v>3.7399999999999998</v>
      </c>
      <c r="I9" s="665">
        <f>SUM(I4:I8)</f>
        <v>233932.81599999999</v>
      </c>
      <c r="J9" s="362"/>
      <c r="K9" s="362"/>
      <c r="L9" s="362"/>
    </row>
    <row r="10" spans="1:12" ht="15.75" x14ac:dyDescent="0.25">
      <c r="A10" s="452" t="s">
        <v>385</v>
      </c>
      <c r="B10" s="666">
        <v>0.17</v>
      </c>
      <c r="C10" s="424">
        <v>0.04</v>
      </c>
      <c r="D10" s="667" t="s">
        <v>404</v>
      </c>
      <c r="E10" s="473"/>
      <c r="F10" s="668" t="s">
        <v>11</v>
      </c>
      <c r="G10" s="669"/>
      <c r="H10" s="670">
        <f>C18</f>
        <v>0.27379999999999999</v>
      </c>
      <c r="I10" s="671">
        <f>I9*H10</f>
        <v>64050.805020799991</v>
      </c>
      <c r="J10" s="362"/>
      <c r="K10" s="362"/>
      <c r="L10" s="362"/>
    </row>
    <row r="11" spans="1:12" ht="16.5" thickBot="1" x14ac:dyDescent="0.3">
      <c r="A11" s="452" t="s">
        <v>388</v>
      </c>
      <c r="B11" s="666">
        <v>0.3</v>
      </c>
      <c r="C11" s="633">
        <v>7.4999999999999997E-2</v>
      </c>
      <c r="D11" s="667" t="s">
        <v>404</v>
      </c>
      <c r="E11" s="362"/>
      <c r="F11" s="672" t="s">
        <v>402</v>
      </c>
      <c r="G11" s="673"/>
      <c r="H11" s="673"/>
      <c r="I11" s="674">
        <f>I10+I9</f>
        <v>297983.62102079997</v>
      </c>
      <c r="J11" s="362"/>
      <c r="K11" s="362"/>
      <c r="L11" s="362"/>
    </row>
    <row r="12" spans="1:12" ht="16.5" thickTop="1" x14ac:dyDescent="0.25">
      <c r="A12" s="452" t="s">
        <v>390</v>
      </c>
      <c r="B12" s="666">
        <v>3</v>
      </c>
      <c r="C12" s="424">
        <v>1.35</v>
      </c>
      <c r="D12" s="667" t="s">
        <v>404</v>
      </c>
      <c r="E12" s="675"/>
      <c r="F12" s="452" t="str">
        <f>A22</f>
        <v>Misc FC Specific expenses</v>
      </c>
      <c r="G12" s="676"/>
      <c r="H12" s="676">
        <f>C22</f>
        <v>1.4999999999999999E-2</v>
      </c>
      <c r="I12" s="705">
        <f>(I11+I14+I15)*H12</f>
        <v>4528.7817333119992</v>
      </c>
      <c r="J12" s="362"/>
      <c r="K12" s="362"/>
      <c r="L12" s="362"/>
    </row>
    <row r="13" spans="1:12" ht="15.75" x14ac:dyDescent="0.25">
      <c r="A13" s="452" t="s">
        <v>392</v>
      </c>
      <c r="B13" s="666">
        <v>0.17</v>
      </c>
      <c r="C13" s="424">
        <v>0.04</v>
      </c>
      <c r="D13" s="667" t="s">
        <v>404</v>
      </c>
      <c r="E13" s="362"/>
      <c r="F13" s="452" t="s">
        <v>222</v>
      </c>
      <c r="G13" s="362"/>
      <c r="H13" s="676">
        <f>C19</f>
        <v>0.12</v>
      </c>
      <c r="I13" s="677">
        <f>SUM(I11+I14+I15)*H13</f>
        <v>36230.253866495994</v>
      </c>
      <c r="J13" s="362"/>
      <c r="K13" s="362"/>
      <c r="L13" s="362"/>
    </row>
    <row r="14" spans="1:12" ht="15.75" x14ac:dyDescent="0.25">
      <c r="A14" s="452" t="s">
        <v>394</v>
      </c>
      <c r="B14" s="666">
        <v>0.1</v>
      </c>
      <c r="C14" s="424">
        <v>0.03</v>
      </c>
      <c r="D14" s="667" t="s">
        <v>404</v>
      </c>
      <c r="E14" s="362"/>
      <c r="F14" s="452" t="s">
        <v>442</v>
      </c>
      <c r="G14" s="362"/>
      <c r="H14" s="678"/>
      <c r="I14" s="677">
        <f>C20</f>
        <v>2015.1612000000002</v>
      </c>
      <c r="J14" s="362"/>
      <c r="K14" s="362"/>
      <c r="L14" s="362"/>
    </row>
    <row r="15" spans="1:12" ht="15.75" x14ac:dyDescent="0.25">
      <c r="A15" s="452" t="s">
        <v>443</v>
      </c>
      <c r="B15" s="666">
        <v>0.16</v>
      </c>
      <c r="C15" s="424">
        <v>0.04</v>
      </c>
      <c r="D15" s="667" t="s">
        <v>404</v>
      </c>
      <c r="E15" s="362"/>
      <c r="F15" s="652" t="s">
        <v>444</v>
      </c>
      <c r="G15" s="362"/>
      <c r="H15" s="678"/>
      <c r="I15" s="677">
        <f>C21</f>
        <v>1920</v>
      </c>
      <c r="J15" s="362"/>
      <c r="K15" s="362"/>
      <c r="L15" s="362"/>
    </row>
    <row r="16" spans="1:12" ht="15.75" x14ac:dyDescent="0.25">
      <c r="A16" s="1213" t="s">
        <v>396</v>
      </c>
      <c r="B16" s="1214"/>
      <c r="C16" s="1215"/>
      <c r="D16" s="661"/>
      <c r="E16" s="362"/>
      <c r="F16" s="452" t="s">
        <v>409</v>
      </c>
      <c r="G16" s="362"/>
      <c r="H16" s="678">
        <f>C25</f>
        <v>3.03</v>
      </c>
      <c r="I16" s="677">
        <f>H16*I2</f>
        <v>4423.7999999999993</v>
      </c>
      <c r="J16" s="362"/>
      <c r="K16" s="362"/>
      <c r="L16" s="362"/>
    </row>
    <row r="17" spans="1:12" ht="16.5" thickBot="1" x14ac:dyDescent="0.3">
      <c r="A17" s="647"/>
      <c r="B17" s="471"/>
      <c r="C17" s="660"/>
      <c r="D17" s="661"/>
      <c r="E17" s="362"/>
      <c r="F17" s="679" t="s">
        <v>412</v>
      </c>
      <c r="G17" s="680"/>
      <c r="H17" s="680"/>
      <c r="I17" s="681">
        <f>I11+I13+I14+I15+I16+I12</f>
        <v>347101.61782060791</v>
      </c>
      <c r="J17" s="362"/>
      <c r="K17" s="362"/>
      <c r="L17" s="362"/>
    </row>
    <row r="18" spans="1:12" ht="15.75" x14ac:dyDescent="0.25">
      <c r="A18" s="452" t="s">
        <v>52</v>
      </c>
      <c r="B18" s="682"/>
      <c r="C18" s="683">
        <f>'[21]IFC &amp; Enhanced FC'!C9</f>
        <v>0.27379999999999999</v>
      </c>
      <c r="D18" s="684" t="s">
        <v>397</v>
      </c>
      <c r="E18" s="362"/>
      <c r="F18" s="452" t="s">
        <v>445</v>
      </c>
      <c r="G18" s="685"/>
      <c r="H18" s="676">
        <f>C26</f>
        <v>2.5758086673353865E-2</v>
      </c>
      <c r="I18" s="686">
        <f>(I11+I14+I15+I16)*H18</f>
        <v>7890.7987845823973</v>
      </c>
      <c r="J18" s="362"/>
      <c r="K18" s="362"/>
      <c r="L18" s="362"/>
    </row>
    <row r="19" spans="1:12" ht="16.5" thickBot="1" x14ac:dyDescent="0.3">
      <c r="A19" s="452" t="s">
        <v>398</v>
      </c>
      <c r="B19" s="349"/>
      <c r="C19" s="687">
        <f>'[21]IFC &amp; Enhanced FC'!C10</f>
        <v>0.12</v>
      </c>
      <c r="D19" s="684" t="s">
        <v>397</v>
      </c>
      <c r="E19" s="362"/>
      <c r="F19" s="459" t="s">
        <v>414</v>
      </c>
      <c r="G19" s="688"/>
      <c r="H19" s="688"/>
      <c r="I19" s="689">
        <f>(I17+I18)/I2-0.01</f>
        <v>243.13549082547283</v>
      </c>
      <c r="J19" s="362"/>
      <c r="K19" s="362"/>
      <c r="L19" s="362"/>
    </row>
    <row r="20" spans="1:12" ht="15.75" x14ac:dyDescent="0.25">
      <c r="A20" s="452" t="s">
        <v>442</v>
      </c>
      <c r="B20" s="636"/>
      <c r="C20" s="690">
        <f>'[21]M2022 BLS SALARY CHART (53_PCT)'!C17*52</f>
        <v>2015.1612000000002</v>
      </c>
      <c r="D20" s="691" t="s">
        <v>446</v>
      </c>
      <c r="E20" s="362"/>
      <c r="F20" s="362"/>
      <c r="G20" s="349"/>
      <c r="H20" s="349" t="s">
        <v>447</v>
      </c>
      <c r="I20" s="438">
        <f>'[22]IFC Family Residential'!$I$19</f>
        <v>200.08495285167874</v>
      </c>
      <c r="J20" s="362"/>
      <c r="K20" s="362"/>
      <c r="L20" s="362"/>
    </row>
    <row r="21" spans="1:12" ht="31.5" x14ac:dyDescent="0.25">
      <c r="A21" s="652" t="s">
        <v>444</v>
      </c>
      <c r="B21" s="362" t="s">
        <v>448</v>
      </c>
      <c r="C21" s="637">
        <f>20*24*4</f>
        <v>1920</v>
      </c>
      <c r="D21" s="692" t="s">
        <v>449</v>
      </c>
      <c r="E21" s="693"/>
      <c r="F21" s="473"/>
      <c r="G21" s="473"/>
      <c r="H21" s="473"/>
      <c r="I21" s="638">
        <f>(I19-I20)/I20</f>
        <v>0.21516129704019815</v>
      </c>
      <c r="J21" s="362"/>
      <c r="K21" s="362"/>
      <c r="L21" s="362"/>
    </row>
    <row r="22" spans="1:12" ht="15.75" x14ac:dyDescent="0.25">
      <c r="A22" s="694" t="s">
        <v>403</v>
      </c>
      <c r="B22" s="362"/>
      <c r="C22" s="695">
        <v>1.4999999999999999E-2</v>
      </c>
      <c r="D22" s="696" t="s">
        <v>450</v>
      </c>
      <c r="E22" s="511"/>
      <c r="F22" s="362"/>
      <c r="G22" s="362"/>
      <c r="H22" s="362"/>
      <c r="I22" s="362"/>
      <c r="J22" s="362"/>
      <c r="K22" s="362"/>
      <c r="L22" s="362"/>
    </row>
    <row r="23" spans="1:12" ht="15.75" x14ac:dyDescent="0.25">
      <c r="A23" s="452" t="s">
        <v>451</v>
      </c>
      <c r="B23" s="362"/>
      <c r="C23" s="683">
        <v>2.6438643292682744E-2</v>
      </c>
      <c r="D23" s="697"/>
      <c r="E23" s="698"/>
      <c r="F23" s="362"/>
      <c r="G23" s="362"/>
      <c r="H23" s="362"/>
      <c r="I23" s="362"/>
      <c r="J23" s="362"/>
      <c r="K23" s="362"/>
      <c r="L23" s="362"/>
    </row>
    <row r="24" spans="1:12" ht="15.75" x14ac:dyDescent="0.25">
      <c r="A24" s="452" t="s">
        <v>452</v>
      </c>
      <c r="B24" s="362"/>
      <c r="C24" s="683">
        <v>1.8700000000000001E-2</v>
      </c>
      <c r="D24" s="692"/>
      <c r="E24" s="698"/>
      <c r="F24" s="362"/>
      <c r="G24" s="362"/>
      <c r="H24" s="362"/>
      <c r="I24" s="362"/>
      <c r="J24" s="362"/>
      <c r="K24" s="362"/>
      <c r="L24" s="362"/>
    </row>
    <row r="25" spans="1:12" ht="31.5" x14ac:dyDescent="0.25">
      <c r="A25" s="699" t="s">
        <v>453</v>
      </c>
      <c r="B25" s="362"/>
      <c r="C25" s="700">
        <v>3.03</v>
      </c>
      <c r="D25" s="701" t="s">
        <v>401</v>
      </c>
      <c r="E25" s="518"/>
      <c r="F25" s="362"/>
      <c r="G25" s="362"/>
      <c r="H25" s="362"/>
      <c r="I25" s="362"/>
      <c r="J25" s="362"/>
      <c r="K25" s="362"/>
      <c r="L25" s="362"/>
    </row>
    <row r="26" spans="1:12" ht="15.75" x14ac:dyDescent="0.25">
      <c r="A26" s="641" t="s">
        <v>454</v>
      </c>
      <c r="B26" s="642"/>
      <c r="C26" s="643">
        <f>'[21]CAF FALL 2023'!CR30</f>
        <v>2.5758086673353865E-2</v>
      </c>
      <c r="D26" s="702" t="s">
        <v>455</v>
      </c>
      <c r="E26" s="698"/>
      <c r="F26" s="362"/>
      <c r="G26" s="703"/>
      <c r="H26" s="482"/>
      <c r="I26" s="362"/>
      <c r="J26" s="362"/>
      <c r="K26" s="362"/>
      <c r="L26" s="362"/>
    </row>
    <row r="27" spans="1:12" ht="16.5" thickBot="1" x14ac:dyDescent="0.3">
      <c r="A27" s="644"/>
      <c r="B27" s="645"/>
      <c r="C27" s="646"/>
      <c r="D27" s="704"/>
      <c r="E27" s="521"/>
      <c r="F27" s="349"/>
      <c r="G27" s="349"/>
      <c r="H27" s="349"/>
      <c r="I27" s="349"/>
      <c r="J27" s="362"/>
      <c r="K27" s="362"/>
      <c r="L27" s="362"/>
    </row>
    <row r="28" spans="1:12" ht="15.75" x14ac:dyDescent="0.25">
      <c r="A28" s="362"/>
      <c r="B28" s="362"/>
      <c r="C28" s="362"/>
      <c r="D28" s="362"/>
      <c r="E28" s="362"/>
      <c r="F28" s="362"/>
      <c r="G28" s="362"/>
      <c r="H28" s="362"/>
      <c r="I28" s="362"/>
      <c r="J28" s="362"/>
      <c r="K28" s="362"/>
      <c r="L28" s="362"/>
    </row>
  </sheetData>
  <mergeCells count="5">
    <mergeCell ref="A1:D1"/>
    <mergeCell ref="F1:I1"/>
    <mergeCell ref="A2:C2"/>
    <mergeCell ref="A8:C8"/>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M2022 BLS SALARY CHART (53_PCT)</vt:lpstr>
      <vt:lpstr>CAF FALL 2023</vt:lpstr>
      <vt:lpstr>AMSS products</vt:lpstr>
      <vt:lpstr>Support Models </vt:lpstr>
      <vt:lpstr>Acute A &amp; B</vt:lpstr>
      <vt:lpstr>Child Home Based Rehab</vt:lpstr>
      <vt:lpstr>Emerg Homes &amp; Exploited Youth</vt:lpstr>
      <vt:lpstr>Transition to Adulthood</vt:lpstr>
      <vt:lpstr>IFC Family Residential</vt:lpstr>
      <vt:lpstr>IFC &amp; Enhanced FC</vt:lpstr>
      <vt:lpstr>Operational Models</vt:lpstr>
      <vt:lpstr>RDP Add On Model</vt:lpstr>
      <vt:lpstr>Add-Ons</vt:lpstr>
      <vt:lpstr>Stipend</vt:lpstr>
      <vt:lpstr>Rates</vt:lpstr>
      <vt:lpstr>'M2022 BLS SALARY CHART (53_PCT)'!Print_Area</vt:lpstr>
      <vt:lpstr>'CAF FALL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2024-08-05T16:52:08Z</dcterms:created>
  <dcterms:modified xsi:type="dcterms:W3CDTF">2024-08-06T20:08:37Z</dcterms:modified>
</cp:coreProperties>
</file>