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8520" tabRatio="857" activeTab="12"/>
  </bookViews>
  <sheets>
    <sheet name="Chart IFC &amp; Spec and Fam Res" sheetId="2" r:id="rId1"/>
    <sheet name="Chart  AMSS &amp; Support Services " sheetId="3" r:id="rId2"/>
    <sheet name="IFC-Inte &amp; Enhanced FC Rebased" sheetId="4" r:id="rId3"/>
    <sheet name="IFC- Child home rehab Rebased" sheetId="5" r:id="rId4"/>
    <sheet name="IFC-Shelter-Exploited Yth Rebas" sheetId="6" r:id="rId5"/>
    <sheet name="IFC- Acute-Adult Srvs -Rebased" sheetId="7" r:id="rId6"/>
    <sheet name="IFC- Transition to Adult Rebase" sheetId="8" r:id="rId7"/>
    <sheet name="IFC- Family Residential " sheetId="9" r:id="rId8"/>
    <sheet name="AMSS &amp; Support Model Rebased" sheetId="10" r:id="rId9"/>
    <sheet name="Chart" sheetId="1" r:id="rId10"/>
    <sheet name=" Shared Living  " sheetId="11" r:id="rId11"/>
    <sheet name=" Shared Living Add on Rates" sheetId="12" r:id="rId12"/>
    <sheet name="Stipend Rates" sheetId="13" r:id="rId13"/>
    <sheet name="CAF Fall 2019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sdfasdf" localSheetId="10">#REF!</definedName>
    <definedName name="asdfasdf" localSheetId="11">#REF!</definedName>
    <definedName name="asdfasdf">#REF!</definedName>
    <definedName name="Average" localSheetId="10">#REF!</definedName>
    <definedName name="Average">#REF!</definedName>
    <definedName name="CAF_NEW">[1]RawDataCalcs!$L$70:$DB$70</definedName>
    <definedName name="Cap">[2]RawDataCalcs!$L$70:$DB$70</definedName>
    <definedName name="Data" localSheetId="10">#REF!</definedName>
    <definedName name="Data" localSheetId="11">#REF!</definedName>
    <definedName name="Data" localSheetId="13">#REF!</definedName>
    <definedName name="Data" localSheetId="12">#REF!</definedName>
    <definedName name="Data">#REF!</definedName>
    <definedName name="Floor">[2]RawDataCalcs!$L$69:$DB$69</definedName>
    <definedName name="Funds">'[3]RawDataCalcs3386&amp;3401'!$L$68:$DB$68</definedName>
    <definedName name="gk" localSheetId="10">#REF!</definedName>
    <definedName name="gk" localSheetId="11">#REF!</definedName>
    <definedName name="gk" localSheetId="8">#REF!</definedName>
    <definedName name="gk" localSheetId="13">#REF!</definedName>
    <definedName name="gk" localSheetId="9">#REF!</definedName>
    <definedName name="gk" localSheetId="1">#REF!</definedName>
    <definedName name="gk" localSheetId="0">#REF!</definedName>
    <definedName name="gk" localSheetId="5">#REF!</definedName>
    <definedName name="gk" localSheetId="3">#REF!</definedName>
    <definedName name="gk" localSheetId="7">#REF!</definedName>
    <definedName name="gk" localSheetId="6">#REF!</definedName>
    <definedName name="gk" localSheetId="2">#REF!</definedName>
    <definedName name="gk" localSheetId="4">#REF!</definedName>
    <definedName name="gk" localSheetId="12">#REF!</definedName>
    <definedName name="gk">#REF!</definedName>
    <definedName name="hhh" localSheetId="10">#REF!</definedName>
    <definedName name="hhh" localSheetId="8">#REF!</definedName>
    <definedName name="hhh" localSheetId="13">#REF!</definedName>
    <definedName name="hhh" localSheetId="9">#REF!</definedName>
    <definedName name="hhh" localSheetId="1">#REF!</definedName>
    <definedName name="hhh" localSheetId="5">#REF!</definedName>
    <definedName name="hhh" localSheetId="3">#REF!</definedName>
    <definedName name="hhh" localSheetId="7">#REF!</definedName>
    <definedName name="hhh" localSheetId="6">#REF!</definedName>
    <definedName name="hhh" localSheetId="2">#REF!</definedName>
    <definedName name="hhh" localSheetId="4">#REF!</definedName>
    <definedName name="hhh" localSheetId="12">#REF!</definedName>
    <definedName name="hhh">#REF!</definedName>
    <definedName name="JailDAverage" localSheetId="10">#REF!</definedName>
    <definedName name="JailDAverage">#REF!</definedName>
    <definedName name="JailDCap">[4]ALLRawDataCalcs!$L$80:$DB$80</definedName>
    <definedName name="JailDFloor">[4]ALLRawDataCalcs!$L$79:$DB$79</definedName>
    <definedName name="JailDgk" localSheetId="10">#REF!</definedName>
    <definedName name="JailDgk" localSheetId="11">#REF!</definedName>
    <definedName name="JailDgk" localSheetId="13">#REF!</definedName>
    <definedName name="JailDgk" localSheetId="12">#REF!</definedName>
    <definedName name="JailDgk">#REF!</definedName>
    <definedName name="JailDMax" localSheetId="10">#REF!</definedName>
    <definedName name="JailDMax" localSheetId="11">#REF!</definedName>
    <definedName name="JailDMax" localSheetId="13">#REF!</definedName>
    <definedName name="JailDMax" localSheetId="12">#REF!</definedName>
    <definedName name="JailDMax">#REF!</definedName>
    <definedName name="JailDMedian" localSheetId="10">#REF!</definedName>
    <definedName name="JailDMedian" localSheetId="11">#REF!</definedName>
    <definedName name="JailDMedian" localSheetId="13">#REF!</definedName>
    <definedName name="JailDMedian" localSheetId="12">#REF!</definedName>
    <definedName name="JailDMedian">#REF!</definedName>
    <definedName name="kls" localSheetId="10">#REF!</definedName>
    <definedName name="kls">#REF!</definedName>
    <definedName name="ListProviders">'[5]List of Programs'!$A$24:$A$29</definedName>
    <definedName name="Max" localSheetId="10">#REF!</definedName>
    <definedName name="Max" localSheetId="11">#REF!</definedName>
    <definedName name="Max" localSheetId="13">#REF!</definedName>
    <definedName name="Max" localSheetId="12">#REF!</definedName>
    <definedName name="Max">#REF!</definedName>
    <definedName name="Median" localSheetId="10">#REF!</definedName>
    <definedName name="Median" localSheetId="11">#REF!</definedName>
    <definedName name="Median" localSheetId="13">#REF!</definedName>
    <definedName name="Median" localSheetId="12">#REF!</definedName>
    <definedName name="Median">#REF!</definedName>
    <definedName name="Min" localSheetId="10">#REF!</definedName>
    <definedName name="Min" localSheetId="11">#REF!</definedName>
    <definedName name="Min" localSheetId="13">#REF!</definedName>
    <definedName name="Min" localSheetId="12">#REF!</definedName>
    <definedName name="Min">#REF!</definedName>
    <definedName name="MT" localSheetId="10">#REF!</definedName>
    <definedName name="MT">#REF!</definedName>
    <definedName name="new" localSheetId="10">#REF!</definedName>
    <definedName name="new">#REF!</definedName>
    <definedName name="ok" localSheetId="10">#REF!</definedName>
    <definedName name="ok" localSheetId="8">#REF!</definedName>
    <definedName name="ok" localSheetId="13">#REF!</definedName>
    <definedName name="ok" localSheetId="9">#REF!</definedName>
    <definedName name="ok" localSheetId="1">#REF!</definedName>
    <definedName name="ok" localSheetId="5">#REF!</definedName>
    <definedName name="ok" localSheetId="3">#REF!</definedName>
    <definedName name="ok" localSheetId="7">#REF!</definedName>
    <definedName name="ok" localSheetId="6">#REF!</definedName>
    <definedName name="ok" localSheetId="2">#REF!</definedName>
    <definedName name="ok" localSheetId="4">#REF!</definedName>
    <definedName name="ok" localSheetId="12">#REF!</definedName>
    <definedName name="ok">#REF!</definedName>
    <definedName name="_xlnm.Print_Area" localSheetId="10">' Shared Living  '!$A$1:$F$37</definedName>
    <definedName name="_xlnm.Print_Area" localSheetId="11">' Shared Living Add on Rates'!$A$4:$K$26</definedName>
    <definedName name="_xlnm.Print_Area" localSheetId="8">'AMSS &amp; Support Model Rebased'!$AA$2:$AN$29</definedName>
    <definedName name="_xlnm.Print_Area" localSheetId="9">Chart!$B$1:$F$30</definedName>
    <definedName name="_xlnm.Print_Area" localSheetId="1">'Chart  AMSS &amp; Support Services '!$E$65:$P$72</definedName>
    <definedName name="_xlnm.Print_Area" localSheetId="0">'Chart IFC &amp; Spec and Fam Res'!$M$4:$AJ$21</definedName>
    <definedName name="_xlnm.Print_Area" localSheetId="5">'IFC- Acute-Adult Srvs -Rebased'!$H$1:$U$32</definedName>
    <definedName name="_xlnm.Print_Area" localSheetId="3">'IFC- Child home rehab Rebased'!$I$1:$M$30</definedName>
    <definedName name="_xlnm.Print_Area" localSheetId="7">'IFC- Family Residential '!$F$2:$K$23</definedName>
    <definedName name="_xlnm.Print_Area" localSheetId="6">'IFC- Transition to Adult Rebase'!$G$2:$J$35</definedName>
    <definedName name="_xlnm.Print_Area" localSheetId="2">'IFC-Inte &amp; Enhanced FC Rebased'!$H$2:$Q$57</definedName>
    <definedName name="_xlnm.Print_Area" localSheetId="4">'IFC-Shelter-Exploited Yth Rebas'!$H$1:$P$32</definedName>
    <definedName name="_xlnm.Print_Area" localSheetId="12">'Stipend Rates'!$L$1:$AA$30</definedName>
    <definedName name="Program_File" localSheetId="10">#REF!</definedName>
    <definedName name="Program_File" localSheetId="11">#REF!</definedName>
    <definedName name="Program_File" localSheetId="13">#REF!</definedName>
    <definedName name="Program_File" localSheetId="12">#REF!</definedName>
    <definedName name="Program_File">#REF!</definedName>
    <definedName name="Programs">'[5]List of Programs'!$B$3:$B$19</definedName>
    <definedName name="ProvFTE" localSheetId="10">'[17]FTE Data'!$A$3:$AW$56</definedName>
    <definedName name="ProvFTE" localSheetId="11">'[17]FTE Data'!$A$3:$AW$56</definedName>
    <definedName name="ProvFTE" localSheetId="13">'[17]FTE Data'!$A$3:$AW$56</definedName>
    <definedName name="ProvFTE" localSheetId="12">'[17]FTE Data'!$A$3:$AW$56</definedName>
    <definedName name="ProvFTE">'[6]FTE Data'!$A$3:$AW$56</definedName>
    <definedName name="PurchasedBy" localSheetId="10">'[17]FTE Data'!$C$263:$AZ$657</definedName>
    <definedName name="PurchasedBy" localSheetId="11">'[17]FTE Data'!$C$263:$AZ$657</definedName>
    <definedName name="PurchasedBy" localSheetId="13">'[17]FTE Data'!$C$263:$AZ$657</definedName>
    <definedName name="PurchasedBy" localSheetId="12">'[17]FTE Data'!$C$263:$AZ$657</definedName>
    <definedName name="PurchasedBy">'[6]FTE Data'!$C$263:$AZ$657</definedName>
    <definedName name="resmay2007" localSheetId="10">#REF!</definedName>
    <definedName name="resmay2007" localSheetId="11">#REF!</definedName>
    <definedName name="resmay2007" localSheetId="13">#REF!</definedName>
    <definedName name="resmay2007" localSheetId="12">#REF!</definedName>
    <definedName name="resmay2007">#REF!</definedName>
    <definedName name="Site_list" localSheetId="10">[17]Lists!$A$2:$A$53</definedName>
    <definedName name="Site_list" localSheetId="11">[17]Lists!$A$2:$A$53</definedName>
    <definedName name="Site_list" localSheetId="13">[17]Lists!$A$2:$A$53</definedName>
    <definedName name="Site_list" localSheetId="12">[17]Lists!$A$2:$A$53</definedName>
    <definedName name="Site_list">[6]Lists!$A$2:$A$53</definedName>
    <definedName name="Source" localSheetId="10">#REF!</definedName>
    <definedName name="Source" localSheetId="11">#REF!</definedName>
    <definedName name="Source" localSheetId="13">#REF!</definedName>
    <definedName name="Source" localSheetId="12">#REF!</definedName>
    <definedName name="Source">#REF!</definedName>
    <definedName name="Source_2" localSheetId="10">#REF!</definedName>
    <definedName name="Source_2" localSheetId="8">#REF!</definedName>
    <definedName name="Source_2" localSheetId="13">#REF!</definedName>
    <definedName name="Source_2" localSheetId="9">#REF!</definedName>
    <definedName name="Source_2" localSheetId="1">#REF!</definedName>
    <definedName name="Source_2" localSheetId="0">#REF!</definedName>
    <definedName name="Source_2" localSheetId="5">#REF!</definedName>
    <definedName name="Source_2" localSheetId="3">#REF!</definedName>
    <definedName name="Source_2" localSheetId="7">#REF!</definedName>
    <definedName name="Source_2" localSheetId="6">#REF!</definedName>
    <definedName name="Source_2" localSheetId="2">#REF!</definedName>
    <definedName name="Source_2" localSheetId="4">#REF!</definedName>
    <definedName name="Source_2" localSheetId="12">#REF!</definedName>
    <definedName name="Source_2">#REF!</definedName>
    <definedName name="SourcePathAndFileName" localSheetId="10">#REF!</definedName>
    <definedName name="SourcePathAndFileName">#REF!</definedName>
    <definedName name="Total_UFR" localSheetId="10">#REF!</definedName>
    <definedName name="Total_UFR" localSheetId="8">#REF!</definedName>
    <definedName name="Total_UFR" localSheetId="13">#REF!</definedName>
    <definedName name="Total_UFR" localSheetId="9">#REF!</definedName>
    <definedName name="Total_UFR" localSheetId="1">#REF!</definedName>
    <definedName name="Total_UFR" localSheetId="0">#REF!</definedName>
    <definedName name="Total_UFR" localSheetId="5">#REF!</definedName>
    <definedName name="Total_UFR" localSheetId="3">#REF!</definedName>
    <definedName name="Total_UFR" localSheetId="7">#REF!</definedName>
    <definedName name="Total_UFR" localSheetId="6">#REF!</definedName>
    <definedName name="Total_UFR" localSheetId="2">#REF!</definedName>
    <definedName name="Total_UFR" localSheetId="4">#REF!</definedName>
    <definedName name="Total_UFR" localSheetId="12">#REF!</definedName>
    <definedName name="Total_UFR">#REF!</definedName>
    <definedName name="Total_UFRs" localSheetId="10">#REF!</definedName>
    <definedName name="Total_UFRs">#REF!</definedName>
    <definedName name="Total_UFRs_" localSheetId="10">#REF!</definedName>
    <definedName name="Total_UFRs_">#REF!</definedName>
    <definedName name="UFR" localSheetId="10">'[7]Complete UFR List'!#REF!</definedName>
    <definedName name="UFR">'[7]Complete UFR List'!#REF!</definedName>
    <definedName name="UFRS" localSheetId="10">'[7]Complete UFR List'!#REF!</definedName>
    <definedName name="UFRS">'[7]Complete UFR List'!#REF!</definedName>
  </definedNames>
  <calcPr calcId="145621"/>
</workbook>
</file>

<file path=xl/calcChain.xml><?xml version="1.0" encoding="utf-8"?>
<calcChain xmlns="http://schemas.openxmlformats.org/spreadsheetml/2006/main">
  <c r="BT28" i="14" l="1"/>
  <c r="BT30" i="14" s="1"/>
  <c r="BT24" i="14"/>
  <c r="B621" i="13"/>
  <c r="F620" i="13"/>
  <c r="G620" i="13" s="1"/>
  <c r="D620" i="13"/>
  <c r="G619" i="13"/>
  <c r="F619" i="13"/>
  <c r="D619" i="13"/>
  <c r="G618" i="13"/>
  <c r="F618" i="13"/>
  <c r="D618" i="13"/>
  <c r="G617" i="13"/>
  <c r="F617" i="13"/>
  <c r="D617" i="13"/>
  <c r="J616" i="13"/>
  <c r="G616" i="13"/>
  <c r="F616" i="13"/>
  <c r="D616" i="13"/>
  <c r="J615" i="13"/>
  <c r="E615" i="13"/>
  <c r="F615" i="13" s="1"/>
  <c r="G615" i="13" s="1"/>
  <c r="D615" i="13"/>
  <c r="E614" i="13"/>
  <c r="F614" i="13" s="1"/>
  <c r="G614" i="13" s="1"/>
  <c r="D614" i="13"/>
  <c r="E613" i="13"/>
  <c r="F613" i="13" s="1"/>
  <c r="G613" i="13" s="1"/>
  <c r="D613" i="13"/>
  <c r="E612" i="13"/>
  <c r="F612" i="13" s="1"/>
  <c r="G612" i="13" s="1"/>
  <c r="D612" i="13"/>
  <c r="E611" i="13"/>
  <c r="F611" i="13" s="1"/>
  <c r="G611" i="13" s="1"/>
  <c r="D611" i="13"/>
  <c r="E610" i="13"/>
  <c r="F610" i="13" s="1"/>
  <c r="G610" i="13" s="1"/>
  <c r="D610" i="13"/>
  <c r="E609" i="13"/>
  <c r="F609" i="13" s="1"/>
  <c r="G609" i="13" s="1"/>
  <c r="D609" i="13"/>
  <c r="E608" i="13"/>
  <c r="F608" i="13" s="1"/>
  <c r="G608" i="13" s="1"/>
  <c r="D608" i="13"/>
  <c r="E607" i="13"/>
  <c r="F607" i="13" s="1"/>
  <c r="G607" i="13" s="1"/>
  <c r="D607" i="13"/>
  <c r="J606" i="13"/>
  <c r="E606" i="13"/>
  <c r="F606" i="13" s="1"/>
  <c r="G606" i="13" s="1"/>
  <c r="D606" i="13"/>
  <c r="E605" i="13"/>
  <c r="F605" i="13" s="1"/>
  <c r="G605" i="13" s="1"/>
  <c r="D605" i="13"/>
  <c r="E604" i="13"/>
  <c r="F604" i="13" s="1"/>
  <c r="G604" i="13" s="1"/>
  <c r="D604" i="13"/>
  <c r="E603" i="13"/>
  <c r="F603" i="13" s="1"/>
  <c r="G603" i="13" s="1"/>
  <c r="D603" i="13"/>
  <c r="E602" i="13"/>
  <c r="F602" i="13" s="1"/>
  <c r="G602" i="13" s="1"/>
  <c r="D602" i="13"/>
  <c r="E601" i="13"/>
  <c r="F601" i="13" s="1"/>
  <c r="G601" i="13" s="1"/>
  <c r="D601" i="13"/>
  <c r="E600" i="13"/>
  <c r="F600" i="13" s="1"/>
  <c r="G600" i="13" s="1"/>
  <c r="D600" i="13"/>
  <c r="E599" i="13"/>
  <c r="F599" i="13" s="1"/>
  <c r="G599" i="13" s="1"/>
  <c r="D599" i="13"/>
  <c r="E598" i="13"/>
  <c r="F598" i="13" s="1"/>
  <c r="G598" i="13" s="1"/>
  <c r="D598" i="13"/>
  <c r="E597" i="13"/>
  <c r="F597" i="13" s="1"/>
  <c r="G597" i="13" s="1"/>
  <c r="D597" i="13"/>
  <c r="E596" i="13"/>
  <c r="F596" i="13" s="1"/>
  <c r="G596" i="13" s="1"/>
  <c r="D596" i="13"/>
  <c r="E595" i="13"/>
  <c r="F595" i="13" s="1"/>
  <c r="G595" i="13" s="1"/>
  <c r="D595" i="13"/>
  <c r="E594" i="13"/>
  <c r="F594" i="13" s="1"/>
  <c r="G594" i="13" s="1"/>
  <c r="D594" i="13"/>
  <c r="E593" i="13"/>
  <c r="F593" i="13" s="1"/>
  <c r="G593" i="13" s="1"/>
  <c r="D593" i="13"/>
  <c r="E592" i="13"/>
  <c r="F592" i="13" s="1"/>
  <c r="G592" i="13" s="1"/>
  <c r="D592" i="13"/>
  <c r="E591" i="13"/>
  <c r="F591" i="13" s="1"/>
  <c r="G591" i="13" s="1"/>
  <c r="D591" i="13"/>
  <c r="E590" i="13"/>
  <c r="F590" i="13" s="1"/>
  <c r="G590" i="13" s="1"/>
  <c r="D590" i="13"/>
  <c r="E589" i="13"/>
  <c r="F589" i="13" s="1"/>
  <c r="G589" i="13" s="1"/>
  <c r="D589" i="13"/>
  <c r="E588" i="13"/>
  <c r="F588" i="13" s="1"/>
  <c r="G588" i="13" s="1"/>
  <c r="D588" i="13"/>
  <c r="E587" i="13"/>
  <c r="F587" i="13" s="1"/>
  <c r="G587" i="13" s="1"/>
  <c r="D587" i="13"/>
  <c r="E586" i="13"/>
  <c r="F586" i="13" s="1"/>
  <c r="G586" i="13" s="1"/>
  <c r="D586" i="13"/>
  <c r="E585" i="13"/>
  <c r="F585" i="13" s="1"/>
  <c r="G585" i="13" s="1"/>
  <c r="D585" i="13"/>
  <c r="E584" i="13"/>
  <c r="F584" i="13" s="1"/>
  <c r="G584" i="13" s="1"/>
  <c r="D584" i="13"/>
  <c r="E583" i="13"/>
  <c r="F583" i="13" s="1"/>
  <c r="G583" i="13" s="1"/>
  <c r="D583" i="13"/>
  <c r="E582" i="13"/>
  <c r="F582" i="13" s="1"/>
  <c r="G582" i="13" s="1"/>
  <c r="D582" i="13"/>
  <c r="E581" i="13"/>
  <c r="F581" i="13" s="1"/>
  <c r="G581" i="13" s="1"/>
  <c r="D581" i="13"/>
  <c r="E580" i="13"/>
  <c r="F580" i="13" s="1"/>
  <c r="G580" i="13" s="1"/>
  <c r="D580" i="13"/>
  <c r="J579" i="13"/>
  <c r="E579" i="13"/>
  <c r="F579" i="13" s="1"/>
  <c r="G579" i="13" s="1"/>
  <c r="D579" i="13"/>
  <c r="E578" i="13"/>
  <c r="F578" i="13" s="1"/>
  <c r="G578" i="13" s="1"/>
  <c r="D578" i="13"/>
  <c r="E577" i="13"/>
  <c r="F577" i="13" s="1"/>
  <c r="G577" i="13" s="1"/>
  <c r="D577" i="13"/>
  <c r="E576" i="13"/>
  <c r="F576" i="13" s="1"/>
  <c r="G576" i="13" s="1"/>
  <c r="D576" i="13"/>
  <c r="E575" i="13"/>
  <c r="F575" i="13" s="1"/>
  <c r="G575" i="13" s="1"/>
  <c r="D575" i="13"/>
  <c r="E574" i="13"/>
  <c r="F574" i="13" s="1"/>
  <c r="G574" i="13" s="1"/>
  <c r="D574" i="13"/>
  <c r="E573" i="13"/>
  <c r="F573" i="13" s="1"/>
  <c r="G573" i="13" s="1"/>
  <c r="D573" i="13"/>
  <c r="E572" i="13"/>
  <c r="F572" i="13" s="1"/>
  <c r="G572" i="13" s="1"/>
  <c r="D572" i="13"/>
  <c r="E571" i="13"/>
  <c r="F571" i="13" s="1"/>
  <c r="G571" i="13" s="1"/>
  <c r="D571" i="13"/>
  <c r="E570" i="13"/>
  <c r="F570" i="13" s="1"/>
  <c r="G570" i="13" s="1"/>
  <c r="D570" i="13"/>
  <c r="E569" i="13"/>
  <c r="F569" i="13" s="1"/>
  <c r="G569" i="13" s="1"/>
  <c r="D569" i="13"/>
  <c r="E568" i="13"/>
  <c r="F568" i="13" s="1"/>
  <c r="G568" i="13" s="1"/>
  <c r="D568" i="13"/>
  <c r="E567" i="13"/>
  <c r="F567" i="13" s="1"/>
  <c r="G567" i="13" s="1"/>
  <c r="D567" i="13"/>
  <c r="E566" i="13"/>
  <c r="F566" i="13" s="1"/>
  <c r="G566" i="13" s="1"/>
  <c r="D566" i="13"/>
  <c r="E565" i="13"/>
  <c r="F565" i="13" s="1"/>
  <c r="G565" i="13" s="1"/>
  <c r="D565" i="13"/>
  <c r="E564" i="13"/>
  <c r="F564" i="13" s="1"/>
  <c r="G564" i="13" s="1"/>
  <c r="D564" i="13"/>
  <c r="E563" i="13"/>
  <c r="F563" i="13" s="1"/>
  <c r="G563" i="13" s="1"/>
  <c r="D563" i="13"/>
  <c r="E562" i="13"/>
  <c r="F562" i="13" s="1"/>
  <c r="G562" i="13" s="1"/>
  <c r="D562" i="13"/>
  <c r="E561" i="13"/>
  <c r="F561" i="13" s="1"/>
  <c r="G561" i="13" s="1"/>
  <c r="D561" i="13"/>
  <c r="E560" i="13"/>
  <c r="F560" i="13" s="1"/>
  <c r="G560" i="13" s="1"/>
  <c r="D560" i="13"/>
  <c r="F559" i="13"/>
  <c r="G559" i="13" s="1"/>
  <c r="D559" i="13"/>
  <c r="G558" i="13"/>
  <c r="F558" i="13"/>
  <c r="D558" i="13"/>
  <c r="G557" i="13"/>
  <c r="F557" i="13"/>
  <c r="D557" i="13"/>
  <c r="F556" i="13"/>
  <c r="G556" i="13" s="1"/>
  <c r="D556" i="13"/>
  <c r="F555" i="13"/>
  <c r="G555" i="13" s="1"/>
  <c r="D555" i="13"/>
  <c r="G554" i="13"/>
  <c r="F554" i="13"/>
  <c r="D554" i="13"/>
  <c r="G553" i="13"/>
  <c r="F553" i="13"/>
  <c r="D553" i="13"/>
  <c r="F552" i="13"/>
  <c r="G552" i="13" s="1"/>
  <c r="D552" i="13"/>
  <c r="F551" i="13"/>
  <c r="G551" i="13" s="1"/>
  <c r="D551" i="13"/>
  <c r="G550" i="13"/>
  <c r="F550" i="13"/>
  <c r="D550" i="13"/>
  <c r="G549" i="13"/>
  <c r="F549" i="13"/>
  <c r="D549" i="13"/>
  <c r="F548" i="13"/>
  <c r="G548" i="13" s="1"/>
  <c r="D548" i="13"/>
  <c r="F547" i="13"/>
  <c r="G547" i="13" s="1"/>
  <c r="D547" i="13"/>
  <c r="G546" i="13"/>
  <c r="F546" i="13"/>
  <c r="D546" i="13"/>
  <c r="G545" i="13"/>
  <c r="F545" i="13"/>
  <c r="D545" i="13"/>
  <c r="F544" i="13"/>
  <c r="G544" i="13" s="1"/>
  <c r="D544" i="13"/>
  <c r="F543" i="13"/>
  <c r="G543" i="13" s="1"/>
  <c r="D543" i="13"/>
  <c r="G542" i="13"/>
  <c r="F542" i="13"/>
  <c r="D542" i="13"/>
  <c r="G541" i="13"/>
  <c r="F541" i="13"/>
  <c r="D541" i="13"/>
  <c r="F540" i="13"/>
  <c r="G540" i="13" s="1"/>
  <c r="D540" i="13"/>
  <c r="F539" i="13"/>
  <c r="G539" i="13" s="1"/>
  <c r="D539" i="13"/>
  <c r="G538" i="13"/>
  <c r="F538" i="13"/>
  <c r="D538" i="13"/>
  <c r="G537" i="13"/>
  <c r="F537" i="13"/>
  <c r="D537" i="13"/>
  <c r="F536" i="13"/>
  <c r="G536" i="13" s="1"/>
  <c r="D536" i="13"/>
  <c r="F535" i="13"/>
  <c r="G535" i="13" s="1"/>
  <c r="D535" i="13"/>
  <c r="G534" i="13"/>
  <c r="F534" i="13"/>
  <c r="D534" i="13"/>
  <c r="G533" i="13"/>
  <c r="F533" i="13"/>
  <c r="D533" i="13"/>
  <c r="F532" i="13"/>
  <c r="G532" i="13" s="1"/>
  <c r="D532" i="13"/>
  <c r="F531" i="13"/>
  <c r="G531" i="13" s="1"/>
  <c r="D531" i="13"/>
  <c r="G530" i="13"/>
  <c r="F530" i="13"/>
  <c r="D530" i="13"/>
  <c r="G529" i="13"/>
  <c r="F529" i="13"/>
  <c r="D529" i="13"/>
  <c r="F528" i="13"/>
  <c r="G528" i="13" s="1"/>
  <c r="D528" i="13"/>
  <c r="F527" i="13"/>
  <c r="G527" i="13" s="1"/>
  <c r="D527" i="13"/>
  <c r="J526" i="13"/>
  <c r="F526" i="13"/>
  <c r="G526" i="13" s="1"/>
  <c r="D526" i="13"/>
  <c r="G525" i="13"/>
  <c r="E525" i="13"/>
  <c r="F525" i="13" s="1"/>
  <c r="D525" i="13"/>
  <c r="E524" i="13"/>
  <c r="F524" i="13" s="1"/>
  <c r="G524" i="13" s="1"/>
  <c r="D524" i="13"/>
  <c r="G523" i="13"/>
  <c r="E523" i="13"/>
  <c r="F523" i="13" s="1"/>
  <c r="D523" i="13"/>
  <c r="E522" i="13"/>
  <c r="F522" i="13" s="1"/>
  <c r="G522" i="13" s="1"/>
  <c r="D522" i="13"/>
  <c r="G521" i="13"/>
  <c r="E521" i="13"/>
  <c r="F521" i="13" s="1"/>
  <c r="D521" i="13"/>
  <c r="E520" i="13"/>
  <c r="F520" i="13" s="1"/>
  <c r="G520" i="13" s="1"/>
  <c r="D520" i="13"/>
  <c r="G519" i="13"/>
  <c r="E519" i="13"/>
  <c r="F519" i="13" s="1"/>
  <c r="D519" i="13"/>
  <c r="E518" i="13"/>
  <c r="F518" i="13" s="1"/>
  <c r="G518" i="13" s="1"/>
  <c r="D518" i="13"/>
  <c r="G517" i="13"/>
  <c r="E517" i="13"/>
  <c r="F517" i="13" s="1"/>
  <c r="D517" i="13"/>
  <c r="E516" i="13"/>
  <c r="F516" i="13" s="1"/>
  <c r="G516" i="13" s="1"/>
  <c r="D516" i="13"/>
  <c r="G515" i="13"/>
  <c r="E515" i="13"/>
  <c r="F515" i="13" s="1"/>
  <c r="D515" i="13"/>
  <c r="E514" i="13"/>
  <c r="F514" i="13" s="1"/>
  <c r="G514" i="13" s="1"/>
  <c r="D514" i="13"/>
  <c r="G513" i="13"/>
  <c r="E513" i="13"/>
  <c r="F513" i="13" s="1"/>
  <c r="D513" i="13"/>
  <c r="E512" i="13"/>
  <c r="F512" i="13" s="1"/>
  <c r="G512" i="13" s="1"/>
  <c r="D512" i="13"/>
  <c r="G511" i="13"/>
  <c r="E511" i="13"/>
  <c r="F511" i="13" s="1"/>
  <c r="D511" i="13"/>
  <c r="E510" i="13"/>
  <c r="F510" i="13" s="1"/>
  <c r="G510" i="13" s="1"/>
  <c r="D510" i="13"/>
  <c r="G509" i="13"/>
  <c r="E509" i="13"/>
  <c r="F509" i="13" s="1"/>
  <c r="D509" i="13"/>
  <c r="E508" i="13"/>
  <c r="F508" i="13" s="1"/>
  <c r="G508" i="13" s="1"/>
  <c r="D508" i="13"/>
  <c r="G507" i="13"/>
  <c r="E507" i="13"/>
  <c r="F507" i="13" s="1"/>
  <c r="D507" i="13"/>
  <c r="E506" i="13"/>
  <c r="F506" i="13" s="1"/>
  <c r="G506" i="13" s="1"/>
  <c r="D506" i="13"/>
  <c r="G505" i="13"/>
  <c r="E505" i="13"/>
  <c r="F505" i="13" s="1"/>
  <c r="D505" i="13"/>
  <c r="E504" i="13"/>
  <c r="F504" i="13" s="1"/>
  <c r="G504" i="13" s="1"/>
  <c r="D504" i="13"/>
  <c r="G503" i="13"/>
  <c r="E503" i="13"/>
  <c r="F503" i="13" s="1"/>
  <c r="D503" i="13"/>
  <c r="E502" i="13"/>
  <c r="F502" i="13" s="1"/>
  <c r="G502" i="13" s="1"/>
  <c r="D502" i="13"/>
  <c r="G501" i="13"/>
  <c r="E501" i="13"/>
  <c r="F501" i="13" s="1"/>
  <c r="D501" i="13"/>
  <c r="E500" i="13"/>
  <c r="F500" i="13" s="1"/>
  <c r="G500" i="13" s="1"/>
  <c r="D500" i="13"/>
  <c r="G499" i="13"/>
  <c r="E499" i="13"/>
  <c r="F499" i="13" s="1"/>
  <c r="D499" i="13"/>
  <c r="F498" i="13"/>
  <c r="G498" i="13" s="1"/>
  <c r="E498" i="13"/>
  <c r="D498" i="13"/>
  <c r="F497" i="13"/>
  <c r="G497" i="13" s="1"/>
  <c r="E497" i="13"/>
  <c r="D497" i="13"/>
  <c r="F496" i="13"/>
  <c r="G496" i="13" s="1"/>
  <c r="E496" i="13"/>
  <c r="D496" i="13"/>
  <c r="F495" i="13"/>
  <c r="G495" i="13" s="1"/>
  <c r="E495" i="13"/>
  <c r="D495" i="13"/>
  <c r="F494" i="13"/>
  <c r="G494" i="13" s="1"/>
  <c r="E494" i="13"/>
  <c r="D494" i="13"/>
  <c r="F493" i="13"/>
  <c r="G493" i="13" s="1"/>
  <c r="E493" i="13"/>
  <c r="D493" i="13"/>
  <c r="F492" i="13"/>
  <c r="G492" i="13" s="1"/>
  <c r="E492" i="13"/>
  <c r="D492" i="13"/>
  <c r="F491" i="13"/>
  <c r="G491" i="13" s="1"/>
  <c r="E491" i="13"/>
  <c r="D491" i="13"/>
  <c r="F490" i="13"/>
  <c r="G490" i="13" s="1"/>
  <c r="E490" i="13"/>
  <c r="D490" i="13"/>
  <c r="F489" i="13"/>
  <c r="G489" i="13" s="1"/>
  <c r="E489" i="13"/>
  <c r="D489" i="13"/>
  <c r="F488" i="13"/>
  <c r="G488" i="13" s="1"/>
  <c r="E488" i="13"/>
  <c r="D488" i="13"/>
  <c r="F487" i="13"/>
  <c r="G487" i="13" s="1"/>
  <c r="E487" i="13"/>
  <c r="D487" i="13"/>
  <c r="F486" i="13"/>
  <c r="G486" i="13" s="1"/>
  <c r="E486" i="13"/>
  <c r="D486" i="13"/>
  <c r="F485" i="13"/>
  <c r="G485" i="13" s="1"/>
  <c r="E485" i="13"/>
  <c r="D485" i="13"/>
  <c r="F484" i="13"/>
  <c r="G484" i="13" s="1"/>
  <c r="E484" i="13"/>
  <c r="D484" i="13"/>
  <c r="F483" i="13"/>
  <c r="G483" i="13" s="1"/>
  <c r="E483" i="13"/>
  <c r="D483" i="13"/>
  <c r="F482" i="13"/>
  <c r="G482" i="13" s="1"/>
  <c r="E482" i="13"/>
  <c r="D482" i="13"/>
  <c r="F481" i="13"/>
  <c r="G481" i="13" s="1"/>
  <c r="E481" i="13"/>
  <c r="D481" i="13"/>
  <c r="F480" i="13"/>
  <c r="G480" i="13" s="1"/>
  <c r="E480" i="13"/>
  <c r="D480" i="13"/>
  <c r="F479" i="13"/>
  <c r="G479" i="13" s="1"/>
  <c r="E479" i="13"/>
  <c r="D479" i="13"/>
  <c r="F478" i="13"/>
  <c r="G478" i="13" s="1"/>
  <c r="E478" i="13"/>
  <c r="D478" i="13"/>
  <c r="F477" i="13"/>
  <c r="G477" i="13" s="1"/>
  <c r="E477" i="13"/>
  <c r="D477" i="13"/>
  <c r="F476" i="13"/>
  <c r="G476" i="13" s="1"/>
  <c r="E476" i="13"/>
  <c r="D476" i="13"/>
  <c r="F475" i="13"/>
  <c r="G475" i="13" s="1"/>
  <c r="E475" i="13"/>
  <c r="D475" i="13"/>
  <c r="F474" i="13"/>
  <c r="G474" i="13" s="1"/>
  <c r="E474" i="13"/>
  <c r="D474" i="13"/>
  <c r="F473" i="13"/>
  <c r="G473" i="13" s="1"/>
  <c r="E473" i="13"/>
  <c r="D473" i="13"/>
  <c r="F472" i="13"/>
  <c r="G472" i="13" s="1"/>
  <c r="E472" i="13"/>
  <c r="D472" i="13"/>
  <c r="F471" i="13"/>
  <c r="G471" i="13" s="1"/>
  <c r="E471" i="13"/>
  <c r="D471" i="13"/>
  <c r="F470" i="13"/>
  <c r="G470" i="13" s="1"/>
  <c r="E470" i="13"/>
  <c r="D470" i="13"/>
  <c r="F469" i="13"/>
  <c r="G469" i="13" s="1"/>
  <c r="E469" i="13"/>
  <c r="D469" i="13"/>
  <c r="F468" i="13"/>
  <c r="G468" i="13" s="1"/>
  <c r="D468" i="13"/>
  <c r="G467" i="13"/>
  <c r="F467" i="13"/>
  <c r="D467" i="13"/>
  <c r="F466" i="13"/>
  <c r="G466" i="13" s="1"/>
  <c r="D466" i="13"/>
  <c r="G465" i="13"/>
  <c r="F465" i="13"/>
  <c r="D465" i="13"/>
  <c r="F464" i="13"/>
  <c r="G464" i="13" s="1"/>
  <c r="D464" i="13"/>
  <c r="G463" i="13"/>
  <c r="F463" i="13"/>
  <c r="D463" i="13"/>
  <c r="F462" i="13"/>
  <c r="G462" i="13" s="1"/>
  <c r="D462" i="13"/>
  <c r="G461" i="13"/>
  <c r="F461" i="13"/>
  <c r="D461" i="13"/>
  <c r="F460" i="13"/>
  <c r="G460" i="13" s="1"/>
  <c r="D460" i="13"/>
  <c r="G459" i="13"/>
  <c r="F459" i="13"/>
  <c r="D459" i="13"/>
  <c r="F458" i="13"/>
  <c r="G458" i="13" s="1"/>
  <c r="D458" i="13"/>
  <c r="G457" i="13"/>
  <c r="F457" i="13"/>
  <c r="D457" i="13"/>
  <c r="F456" i="13"/>
  <c r="G456" i="13" s="1"/>
  <c r="D456" i="13"/>
  <c r="G455" i="13"/>
  <c r="F455" i="13"/>
  <c r="D455" i="13"/>
  <c r="F454" i="13"/>
  <c r="G454" i="13" s="1"/>
  <c r="D454" i="13"/>
  <c r="G453" i="13"/>
  <c r="F453" i="13"/>
  <c r="D453" i="13"/>
  <c r="F452" i="13"/>
  <c r="G452" i="13" s="1"/>
  <c r="D452" i="13"/>
  <c r="G451" i="13"/>
  <c r="F451" i="13"/>
  <c r="D451" i="13"/>
  <c r="F450" i="13"/>
  <c r="G450" i="13" s="1"/>
  <c r="D450" i="13"/>
  <c r="G449" i="13"/>
  <c r="F449" i="13"/>
  <c r="D449" i="13"/>
  <c r="F448" i="13"/>
  <c r="G448" i="13" s="1"/>
  <c r="D448" i="13"/>
  <c r="G447" i="13"/>
  <c r="F447" i="13"/>
  <c r="D447" i="13"/>
  <c r="J446" i="13"/>
  <c r="G446" i="13"/>
  <c r="F446" i="13"/>
  <c r="D446" i="13"/>
  <c r="F445" i="13"/>
  <c r="G445" i="13" s="1"/>
  <c r="D445" i="13"/>
  <c r="G444" i="13"/>
  <c r="F444" i="13"/>
  <c r="D444" i="13"/>
  <c r="F443" i="13"/>
  <c r="G443" i="13" s="1"/>
  <c r="D443" i="13"/>
  <c r="G442" i="13"/>
  <c r="F442" i="13"/>
  <c r="D442" i="13"/>
  <c r="F441" i="13"/>
  <c r="G441" i="13" s="1"/>
  <c r="D441" i="13"/>
  <c r="G440" i="13"/>
  <c r="F440" i="13"/>
  <c r="D440" i="13"/>
  <c r="F439" i="13"/>
  <c r="G439" i="13" s="1"/>
  <c r="D439" i="13"/>
  <c r="G438" i="13"/>
  <c r="F438" i="13"/>
  <c r="D438" i="13"/>
  <c r="F437" i="13"/>
  <c r="G437" i="13" s="1"/>
  <c r="D437" i="13"/>
  <c r="G436" i="13"/>
  <c r="F436" i="13"/>
  <c r="D436" i="13"/>
  <c r="F435" i="13"/>
  <c r="G435" i="13" s="1"/>
  <c r="D435" i="13"/>
  <c r="G434" i="13"/>
  <c r="F434" i="13"/>
  <c r="D434" i="13"/>
  <c r="F433" i="13"/>
  <c r="G433" i="13" s="1"/>
  <c r="D433" i="13"/>
  <c r="G432" i="13"/>
  <c r="F432" i="13"/>
  <c r="D432" i="13"/>
  <c r="F431" i="13"/>
  <c r="G431" i="13" s="1"/>
  <c r="D431" i="13"/>
  <c r="G430" i="13"/>
  <c r="F430" i="13"/>
  <c r="D430" i="13"/>
  <c r="F429" i="13"/>
  <c r="G429" i="13" s="1"/>
  <c r="D429" i="13"/>
  <c r="G428" i="13"/>
  <c r="F428" i="13"/>
  <c r="D428" i="13"/>
  <c r="F427" i="13"/>
  <c r="G427" i="13" s="1"/>
  <c r="D427" i="13"/>
  <c r="G426" i="13"/>
  <c r="F426" i="13"/>
  <c r="D426" i="13"/>
  <c r="F425" i="13"/>
  <c r="G425" i="13" s="1"/>
  <c r="D425" i="13"/>
  <c r="G424" i="13"/>
  <c r="F424" i="13"/>
  <c r="D424" i="13"/>
  <c r="F423" i="13"/>
  <c r="G423" i="13" s="1"/>
  <c r="D423" i="13"/>
  <c r="G422" i="13"/>
  <c r="F422" i="13"/>
  <c r="D422" i="13"/>
  <c r="F421" i="13"/>
  <c r="G421" i="13" s="1"/>
  <c r="D421" i="13"/>
  <c r="G420" i="13"/>
  <c r="F420" i="13"/>
  <c r="D420" i="13"/>
  <c r="F419" i="13"/>
  <c r="G419" i="13" s="1"/>
  <c r="D419" i="13"/>
  <c r="G418" i="13"/>
  <c r="F418" i="13"/>
  <c r="D418" i="13"/>
  <c r="F417" i="13"/>
  <c r="G417" i="13" s="1"/>
  <c r="D417" i="13"/>
  <c r="G416" i="13"/>
  <c r="F416" i="13"/>
  <c r="D416" i="13"/>
  <c r="F415" i="13"/>
  <c r="G415" i="13" s="1"/>
  <c r="D415" i="13"/>
  <c r="G414" i="13"/>
  <c r="F414" i="13"/>
  <c r="D414" i="13"/>
  <c r="J413" i="13"/>
  <c r="G413" i="13"/>
  <c r="F413" i="13"/>
  <c r="D413" i="13"/>
  <c r="F412" i="13"/>
  <c r="G412" i="13" s="1"/>
  <c r="D412" i="13"/>
  <c r="G411" i="13"/>
  <c r="F411" i="13"/>
  <c r="D411" i="13"/>
  <c r="F410" i="13"/>
  <c r="G410" i="13" s="1"/>
  <c r="D410" i="13"/>
  <c r="G409" i="13"/>
  <c r="F409" i="13"/>
  <c r="D409" i="13"/>
  <c r="F408" i="13"/>
  <c r="G408" i="13" s="1"/>
  <c r="D408" i="13"/>
  <c r="G407" i="13"/>
  <c r="F407" i="13"/>
  <c r="D407" i="13"/>
  <c r="F406" i="13"/>
  <c r="G406" i="13" s="1"/>
  <c r="D406" i="13"/>
  <c r="G405" i="13"/>
  <c r="F405" i="13"/>
  <c r="D405" i="13"/>
  <c r="F404" i="13"/>
  <c r="G404" i="13" s="1"/>
  <c r="D404" i="13"/>
  <c r="G403" i="13"/>
  <c r="F403" i="13"/>
  <c r="D403" i="13"/>
  <c r="F402" i="13"/>
  <c r="G402" i="13" s="1"/>
  <c r="D402" i="13"/>
  <c r="G401" i="13"/>
  <c r="F401" i="13"/>
  <c r="D401" i="13"/>
  <c r="F400" i="13"/>
  <c r="G400" i="13" s="1"/>
  <c r="D400" i="13"/>
  <c r="G399" i="13"/>
  <c r="F399" i="13"/>
  <c r="D399" i="13"/>
  <c r="F398" i="13"/>
  <c r="G398" i="13" s="1"/>
  <c r="D398" i="13"/>
  <c r="G397" i="13"/>
  <c r="F397" i="13"/>
  <c r="D397" i="13"/>
  <c r="F396" i="13"/>
  <c r="G396" i="13" s="1"/>
  <c r="D396" i="13"/>
  <c r="G395" i="13"/>
  <c r="F395" i="13"/>
  <c r="D395" i="13"/>
  <c r="F394" i="13"/>
  <c r="G394" i="13" s="1"/>
  <c r="D394" i="13"/>
  <c r="G393" i="13"/>
  <c r="F393" i="13"/>
  <c r="D393" i="13"/>
  <c r="F392" i="13"/>
  <c r="G392" i="13" s="1"/>
  <c r="D392" i="13"/>
  <c r="G391" i="13"/>
  <c r="F391" i="13"/>
  <c r="D391" i="13"/>
  <c r="F390" i="13"/>
  <c r="G390" i="13" s="1"/>
  <c r="D390" i="13"/>
  <c r="G389" i="13"/>
  <c r="F389" i="13"/>
  <c r="D389" i="13"/>
  <c r="F388" i="13"/>
  <c r="G388" i="13" s="1"/>
  <c r="D388" i="13"/>
  <c r="G387" i="13"/>
  <c r="F387" i="13"/>
  <c r="D387" i="13"/>
  <c r="F386" i="13"/>
  <c r="G386" i="13" s="1"/>
  <c r="D386" i="13"/>
  <c r="G385" i="13"/>
  <c r="F385" i="13"/>
  <c r="D385" i="13"/>
  <c r="F384" i="13"/>
  <c r="G384" i="13" s="1"/>
  <c r="D384" i="13"/>
  <c r="G383" i="13"/>
  <c r="F383" i="13"/>
  <c r="D383" i="13"/>
  <c r="F382" i="13"/>
  <c r="G382" i="13" s="1"/>
  <c r="D382" i="13"/>
  <c r="J381" i="13"/>
  <c r="F381" i="13"/>
  <c r="G381" i="13" s="1"/>
  <c r="D381" i="13"/>
  <c r="E380" i="13"/>
  <c r="F380" i="13" s="1"/>
  <c r="G380" i="13" s="1"/>
  <c r="D380" i="13"/>
  <c r="G379" i="13"/>
  <c r="E379" i="13"/>
  <c r="F379" i="13" s="1"/>
  <c r="D379" i="13"/>
  <c r="E378" i="13"/>
  <c r="F378" i="13" s="1"/>
  <c r="G378" i="13" s="1"/>
  <c r="D378" i="13"/>
  <c r="G377" i="13"/>
  <c r="E377" i="13"/>
  <c r="F377" i="13" s="1"/>
  <c r="D377" i="13"/>
  <c r="E376" i="13"/>
  <c r="F376" i="13" s="1"/>
  <c r="G376" i="13" s="1"/>
  <c r="D376" i="13"/>
  <c r="G375" i="13"/>
  <c r="E375" i="13"/>
  <c r="F375" i="13" s="1"/>
  <c r="D375" i="13"/>
  <c r="E374" i="13"/>
  <c r="F374" i="13" s="1"/>
  <c r="G374" i="13" s="1"/>
  <c r="D374" i="13"/>
  <c r="G373" i="13"/>
  <c r="E373" i="13"/>
  <c r="F373" i="13" s="1"/>
  <c r="D373" i="13"/>
  <c r="E372" i="13"/>
  <c r="F372" i="13" s="1"/>
  <c r="G372" i="13" s="1"/>
  <c r="D372" i="13"/>
  <c r="G371" i="13"/>
  <c r="E371" i="13"/>
  <c r="F371" i="13" s="1"/>
  <c r="D371" i="13"/>
  <c r="E370" i="13"/>
  <c r="F370" i="13" s="1"/>
  <c r="G370" i="13" s="1"/>
  <c r="D370" i="13"/>
  <c r="G369" i="13"/>
  <c r="E369" i="13"/>
  <c r="F369" i="13" s="1"/>
  <c r="D369" i="13"/>
  <c r="E368" i="13"/>
  <c r="F368" i="13" s="1"/>
  <c r="G368" i="13" s="1"/>
  <c r="D368" i="13"/>
  <c r="G367" i="13"/>
  <c r="E367" i="13"/>
  <c r="F367" i="13" s="1"/>
  <c r="D367" i="13"/>
  <c r="E366" i="13"/>
  <c r="F366" i="13" s="1"/>
  <c r="G366" i="13" s="1"/>
  <c r="D366" i="13"/>
  <c r="G365" i="13"/>
  <c r="E365" i="13"/>
  <c r="F365" i="13" s="1"/>
  <c r="D365" i="13"/>
  <c r="E364" i="13"/>
  <c r="F364" i="13" s="1"/>
  <c r="G364" i="13" s="1"/>
  <c r="D364" i="13"/>
  <c r="G363" i="13"/>
  <c r="E363" i="13"/>
  <c r="F363" i="13" s="1"/>
  <c r="D363" i="13"/>
  <c r="E362" i="13"/>
  <c r="F362" i="13" s="1"/>
  <c r="G362" i="13" s="1"/>
  <c r="D362" i="13"/>
  <c r="G361" i="13"/>
  <c r="E361" i="13"/>
  <c r="F361" i="13" s="1"/>
  <c r="D361" i="13"/>
  <c r="E360" i="13"/>
  <c r="F360" i="13" s="1"/>
  <c r="G360" i="13" s="1"/>
  <c r="D360" i="13"/>
  <c r="G359" i="13"/>
  <c r="E359" i="13"/>
  <c r="F359" i="13" s="1"/>
  <c r="D359" i="13"/>
  <c r="E358" i="13"/>
  <c r="F358" i="13" s="1"/>
  <c r="G358" i="13" s="1"/>
  <c r="D358" i="13"/>
  <c r="G357" i="13"/>
  <c r="E357" i="13"/>
  <c r="F357" i="13" s="1"/>
  <c r="D357" i="13"/>
  <c r="E356" i="13"/>
  <c r="F356" i="13" s="1"/>
  <c r="G356" i="13" s="1"/>
  <c r="D356" i="13"/>
  <c r="G355" i="13"/>
  <c r="E355" i="13"/>
  <c r="F355" i="13" s="1"/>
  <c r="D355" i="13"/>
  <c r="F354" i="13"/>
  <c r="G354" i="13" s="1"/>
  <c r="E354" i="13"/>
  <c r="D354" i="13"/>
  <c r="F353" i="13"/>
  <c r="G353" i="13" s="1"/>
  <c r="E353" i="13"/>
  <c r="D353" i="13"/>
  <c r="F352" i="13"/>
  <c r="G352" i="13" s="1"/>
  <c r="E352" i="13"/>
  <c r="D352" i="13"/>
  <c r="F351" i="13"/>
  <c r="G351" i="13" s="1"/>
  <c r="E351" i="13"/>
  <c r="D351" i="13"/>
  <c r="F350" i="13"/>
  <c r="G350" i="13" s="1"/>
  <c r="E350" i="13"/>
  <c r="D350" i="13"/>
  <c r="F349" i="13"/>
  <c r="G349" i="13" s="1"/>
  <c r="E349" i="13"/>
  <c r="D349" i="13"/>
  <c r="F348" i="13"/>
  <c r="G348" i="13" s="1"/>
  <c r="E348" i="13"/>
  <c r="D348" i="13"/>
  <c r="F347" i="13"/>
  <c r="G347" i="13" s="1"/>
  <c r="E347" i="13"/>
  <c r="D347" i="13"/>
  <c r="F346" i="13"/>
  <c r="G346" i="13" s="1"/>
  <c r="E346" i="13"/>
  <c r="D346" i="13"/>
  <c r="F345" i="13"/>
  <c r="G345" i="13" s="1"/>
  <c r="E345" i="13"/>
  <c r="D345" i="13"/>
  <c r="F344" i="13"/>
  <c r="G344" i="13" s="1"/>
  <c r="E344" i="13"/>
  <c r="D344" i="13"/>
  <c r="F343" i="13"/>
  <c r="G343" i="13" s="1"/>
  <c r="E343" i="13"/>
  <c r="D343" i="13"/>
  <c r="F342" i="13"/>
  <c r="G342" i="13" s="1"/>
  <c r="E342" i="13"/>
  <c r="D342" i="13"/>
  <c r="F341" i="13"/>
  <c r="G341" i="13" s="1"/>
  <c r="E341" i="13"/>
  <c r="D341" i="13"/>
  <c r="F340" i="13"/>
  <c r="G340" i="13" s="1"/>
  <c r="E340" i="13"/>
  <c r="D340" i="13"/>
  <c r="F339" i="13"/>
  <c r="G339" i="13" s="1"/>
  <c r="E339" i="13"/>
  <c r="D339" i="13"/>
  <c r="F338" i="13"/>
  <c r="G338" i="13" s="1"/>
  <c r="E338" i="13"/>
  <c r="D338" i="13"/>
  <c r="F337" i="13"/>
  <c r="G337" i="13" s="1"/>
  <c r="E337" i="13"/>
  <c r="D337" i="13"/>
  <c r="F336" i="13"/>
  <c r="G336" i="13" s="1"/>
  <c r="E336" i="13"/>
  <c r="D336" i="13"/>
  <c r="F335" i="13"/>
  <c r="G335" i="13" s="1"/>
  <c r="E335" i="13"/>
  <c r="D335" i="13"/>
  <c r="F334" i="13"/>
  <c r="G334" i="13" s="1"/>
  <c r="E334" i="13"/>
  <c r="D334" i="13"/>
  <c r="F333" i="13"/>
  <c r="G333" i="13" s="1"/>
  <c r="E333" i="13"/>
  <c r="D333" i="13"/>
  <c r="F332" i="13"/>
  <c r="G332" i="13" s="1"/>
  <c r="E332" i="13"/>
  <c r="D332" i="13"/>
  <c r="F331" i="13"/>
  <c r="G331" i="13" s="1"/>
  <c r="E331" i="13"/>
  <c r="D331" i="13"/>
  <c r="F330" i="13"/>
  <c r="G330" i="13" s="1"/>
  <c r="E330" i="13"/>
  <c r="D330" i="13"/>
  <c r="F329" i="13"/>
  <c r="G329" i="13" s="1"/>
  <c r="E329" i="13"/>
  <c r="D329" i="13"/>
  <c r="F328" i="13"/>
  <c r="G328" i="13" s="1"/>
  <c r="E328" i="13"/>
  <c r="D328" i="13"/>
  <c r="F327" i="13"/>
  <c r="G327" i="13" s="1"/>
  <c r="E327" i="13"/>
  <c r="D327" i="13"/>
  <c r="F326" i="13"/>
  <c r="G326" i="13" s="1"/>
  <c r="E326" i="13"/>
  <c r="D326" i="13"/>
  <c r="F325" i="13"/>
  <c r="G325" i="13" s="1"/>
  <c r="E325" i="13"/>
  <c r="D325" i="13"/>
  <c r="F324" i="13"/>
  <c r="G324" i="13" s="1"/>
  <c r="E324" i="13"/>
  <c r="D324" i="13"/>
  <c r="F323" i="13"/>
  <c r="G323" i="13" s="1"/>
  <c r="E323" i="13"/>
  <c r="D323" i="13"/>
  <c r="F322" i="13"/>
  <c r="G322" i="13" s="1"/>
  <c r="E322" i="13"/>
  <c r="D322" i="13"/>
  <c r="F321" i="13"/>
  <c r="G321" i="13" s="1"/>
  <c r="E321" i="13"/>
  <c r="D321" i="13"/>
  <c r="F320" i="13"/>
  <c r="G320" i="13" s="1"/>
  <c r="E320" i="13"/>
  <c r="D320" i="13"/>
  <c r="J319" i="13"/>
  <c r="E319" i="13"/>
  <c r="F319" i="13" s="1"/>
  <c r="G319" i="13" s="1"/>
  <c r="D319" i="13"/>
  <c r="G318" i="13"/>
  <c r="F318" i="13"/>
  <c r="D318" i="13"/>
  <c r="F317" i="13"/>
  <c r="G317" i="13" s="1"/>
  <c r="D317" i="13"/>
  <c r="G316" i="13"/>
  <c r="F316" i="13"/>
  <c r="D316" i="13"/>
  <c r="F315" i="13"/>
  <c r="G315" i="13" s="1"/>
  <c r="D315" i="13"/>
  <c r="G314" i="13"/>
  <c r="F314" i="13"/>
  <c r="D314" i="13"/>
  <c r="F313" i="13"/>
  <c r="G313" i="13" s="1"/>
  <c r="D313" i="13"/>
  <c r="G312" i="13"/>
  <c r="F312" i="13"/>
  <c r="D312" i="13"/>
  <c r="F311" i="13"/>
  <c r="G311" i="13" s="1"/>
  <c r="D311" i="13"/>
  <c r="G310" i="13"/>
  <c r="F310" i="13"/>
  <c r="D310" i="13"/>
  <c r="F309" i="13"/>
  <c r="G309" i="13" s="1"/>
  <c r="D309" i="13"/>
  <c r="G308" i="13"/>
  <c r="F308" i="13"/>
  <c r="D308" i="13"/>
  <c r="F307" i="13"/>
  <c r="G307" i="13" s="1"/>
  <c r="D307" i="13"/>
  <c r="G306" i="13"/>
  <c r="F306" i="13"/>
  <c r="D306" i="13"/>
  <c r="F305" i="13"/>
  <c r="G305" i="13" s="1"/>
  <c r="D305" i="13"/>
  <c r="G304" i="13"/>
  <c r="F304" i="13"/>
  <c r="D304" i="13"/>
  <c r="F303" i="13"/>
  <c r="G303" i="13" s="1"/>
  <c r="D303" i="13"/>
  <c r="G302" i="13"/>
  <c r="F302" i="13"/>
  <c r="D302" i="13"/>
  <c r="F301" i="13"/>
  <c r="G301" i="13" s="1"/>
  <c r="D301" i="13"/>
  <c r="G300" i="13"/>
  <c r="F300" i="13"/>
  <c r="D300" i="13"/>
  <c r="F299" i="13"/>
  <c r="G299" i="13" s="1"/>
  <c r="D299" i="13"/>
  <c r="G298" i="13"/>
  <c r="F298" i="13"/>
  <c r="D298" i="13"/>
  <c r="F297" i="13"/>
  <c r="G297" i="13" s="1"/>
  <c r="D297" i="13"/>
  <c r="G296" i="13"/>
  <c r="F296" i="13"/>
  <c r="D296" i="13"/>
  <c r="F295" i="13"/>
  <c r="G295" i="13" s="1"/>
  <c r="D295" i="13"/>
  <c r="G294" i="13"/>
  <c r="F294" i="13"/>
  <c r="D294" i="13"/>
  <c r="F293" i="13"/>
  <c r="G293" i="13" s="1"/>
  <c r="D293" i="13"/>
  <c r="G292" i="13"/>
  <c r="F292" i="13"/>
  <c r="D292" i="13"/>
  <c r="F291" i="13"/>
  <c r="G291" i="13" s="1"/>
  <c r="D291" i="13"/>
  <c r="G290" i="13"/>
  <c r="F290" i="13"/>
  <c r="D290" i="13"/>
  <c r="F289" i="13"/>
  <c r="G289" i="13" s="1"/>
  <c r="D289" i="13"/>
  <c r="G288" i="13"/>
  <c r="F288" i="13"/>
  <c r="D288" i="13"/>
  <c r="F287" i="13"/>
  <c r="G287" i="13" s="1"/>
  <c r="D287" i="13"/>
  <c r="G286" i="13"/>
  <c r="F286" i="13"/>
  <c r="D286" i="13"/>
  <c r="F285" i="13"/>
  <c r="G285" i="13" s="1"/>
  <c r="D285" i="13"/>
  <c r="G284" i="13"/>
  <c r="F284" i="13"/>
  <c r="D284" i="13"/>
  <c r="F283" i="13"/>
  <c r="G283" i="13" s="1"/>
  <c r="D283" i="13"/>
  <c r="G282" i="13"/>
  <c r="F282" i="13"/>
  <c r="D282" i="13"/>
  <c r="F281" i="13"/>
  <c r="G281" i="13" s="1"/>
  <c r="D281" i="13"/>
  <c r="G280" i="13"/>
  <c r="F280" i="13"/>
  <c r="D280" i="13"/>
  <c r="F279" i="13"/>
  <c r="G279" i="13" s="1"/>
  <c r="D279" i="13"/>
  <c r="G278" i="13"/>
  <c r="F278" i="13"/>
  <c r="D278" i="13"/>
  <c r="F277" i="13"/>
  <c r="G277" i="13" s="1"/>
  <c r="D277" i="13"/>
  <c r="G276" i="13"/>
  <c r="F276" i="13"/>
  <c r="D276" i="13"/>
  <c r="J275" i="13"/>
  <c r="G275" i="13"/>
  <c r="F275" i="13"/>
  <c r="D275" i="13"/>
  <c r="F274" i="13"/>
  <c r="G274" i="13" s="1"/>
  <c r="E274" i="13"/>
  <c r="D274" i="13"/>
  <c r="F273" i="13"/>
  <c r="G273" i="13" s="1"/>
  <c r="E273" i="13"/>
  <c r="D273" i="13"/>
  <c r="F272" i="13"/>
  <c r="G272" i="13" s="1"/>
  <c r="E272" i="13"/>
  <c r="D272" i="13"/>
  <c r="F271" i="13"/>
  <c r="G271" i="13" s="1"/>
  <c r="E271" i="13"/>
  <c r="D271" i="13"/>
  <c r="F270" i="13"/>
  <c r="G270" i="13" s="1"/>
  <c r="E270" i="13"/>
  <c r="D270" i="13"/>
  <c r="F269" i="13"/>
  <c r="G269" i="13" s="1"/>
  <c r="E269" i="13"/>
  <c r="D269" i="13"/>
  <c r="F268" i="13"/>
  <c r="G268" i="13" s="1"/>
  <c r="E268" i="13"/>
  <c r="D268" i="13"/>
  <c r="F267" i="13"/>
  <c r="G267" i="13" s="1"/>
  <c r="E267" i="13"/>
  <c r="D267" i="13"/>
  <c r="F266" i="13"/>
  <c r="G266" i="13" s="1"/>
  <c r="E266" i="13"/>
  <c r="D266" i="13"/>
  <c r="F265" i="13"/>
  <c r="G265" i="13" s="1"/>
  <c r="E265" i="13"/>
  <c r="D265" i="13"/>
  <c r="F264" i="13"/>
  <c r="G264" i="13" s="1"/>
  <c r="E264" i="13"/>
  <c r="D264" i="13"/>
  <c r="F263" i="13"/>
  <c r="G263" i="13" s="1"/>
  <c r="E263" i="13"/>
  <c r="D263" i="13"/>
  <c r="F262" i="13"/>
  <c r="G262" i="13" s="1"/>
  <c r="E262" i="13"/>
  <c r="D262" i="13"/>
  <c r="F261" i="13"/>
  <c r="G261" i="13" s="1"/>
  <c r="E261" i="13"/>
  <c r="D261" i="13"/>
  <c r="F260" i="13"/>
  <c r="G260" i="13" s="1"/>
  <c r="E260" i="13"/>
  <c r="D260" i="13"/>
  <c r="F259" i="13"/>
  <c r="G259" i="13" s="1"/>
  <c r="E259" i="13"/>
  <c r="D259" i="13"/>
  <c r="F258" i="13"/>
  <c r="G258" i="13" s="1"/>
  <c r="E258" i="13"/>
  <c r="D258" i="13"/>
  <c r="F257" i="13"/>
  <c r="G257" i="13" s="1"/>
  <c r="E257" i="13"/>
  <c r="D257" i="13"/>
  <c r="F256" i="13"/>
  <c r="G256" i="13" s="1"/>
  <c r="E256" i="13"/>
  <c r="D256" i="13"/>
  <c r="F255" i="13"/>
  <c r="G255" i="13" s="1"/>
  <c r="E255" i="13"/>
  <c r="D255" i="13"/>
  <c r="F254" i="13"/>
  <c r="G254" i="13" s="1"/>
  <c r="E254" i="13"/>
  <c r="D254" i="13"/>
  <c r="F253" i="13"/>
  <c r="G253" i="13" s="1"/>
  <c r="E253" i="13"/>
  <c r="D253" i="13"/>
  <c r="F252" i="13"/>
  <c r="G252" i="13" s="1"/>
  <c r="E252" i="13"/>
  <c r="D252" i="13"/>
  <c r="F251" i="13"/>
  <c r="G251" i="13" s="1"/>
  <c r="E251" i="13"/>
  <c r="D251" i="13"/>
  <c r="F250" i="13"/>
  <c r="G250" i="13" s="1"/>
  <c r="E250" i="13"/>
  <c r="D250" i="13"/>
  <c r="F249" i="13"/>
  <c r="G249" i="13" s="1"/>
  <c r="E249" i="13"/>
  <c r="D249" i="13"/>
  <c r="F248" i="13"/>
  <c r="G248" i="13" s="1"/>
  <c r="E248" i="13"/>
  <c r="D248" i="13"/>
  <c r="F247" i="13"/>
  <c r="G247" i="13" s="1"/>
  <c r="E247" i="13"/>
  <c r="D247" i="13"/>
  <c r="F246" i="13"/>
  <c r="G246" i="13" s="1"/>
  <c r="E246" i="13"/>
  <c r="D246" i="13"/>
  <c r="F245" i="13"/>
  <c r="G245" i="13" s="1"/>
  <c r="E245" i="13"/>
  <c r="D245" i="13"/>
  <c r="F244" i="13"/>
  <c r="G244" i="13" s="1"/>
  <c r="E244" i="13"/>
  <c r="D244" i="13"/>
  <c r="F243" i="13"/>
  <c r="G243" i="13" s="1"/>
  <c r="E243" i="13"/>
  <c r="D243" i="13"/>
  <c r="F242" i="13"/>
  <c r="G242" i="13" s="1"/>
  <c r="E242" i="13"/>
  <c r="D242" i="13"/>
  <c r="F241" i="13"/>
  <c r="G241" i="13" s="1"/>
  <c r="E241" i="13"/>
  <c r="D241" i="13"/>
  <c r="F240" i="13"/>
  <c r="G240" i="13" s="1"/>
  <c r="E240" i="13"/>
  <c r="D240" i="13"/>
  <c r="F239" i="13"/>
  <c r="G239" i="13" s="1"/>
  <c r="E239" i="13"/>
  <c r="D239" i="13"/>
  <c r="F238" i="13"/>
  <c r="G238" i="13" s="1"/>
  <c r="E238" i="13"/>
  <c r="D238" i="13"/>
  <c r="F237" i="13"/>
  <c r="G237" i="13" s="1"/>
  <c r="E237" i="13"/>
  <c r="D237" i="13"/>
  <c r="F236" i="13"/>
  <c r="G236" i="13" s="1"/>
  <c r="E236" i="13"/>
  <c r="D236" i="13"/>
  <c r="F235" i="13"/>
  <c r="G235" i="13" s="1"/>
  <c r="E235" i="13"/>
  <c r="D235" i="13"/>
  <c r="F234" i="13"/>
  <c r="G234" i="13" s="1"/>
  <c r="E234" i="13"/>
  <c r="D234" i="13"/>
  <c r="F233" i="13"/>
  <c r="G233" i="13" s="1"/>
  <c r="E233" i="13"/>
  <c r="D233" i="13"/>
  <c r="F232" i="13"/>
  <c r="G232" i="13" s="1"/>
  <c r="E232" i="13"/>
  <c r="D232" i="13"/>
  <c r="F231" i="13"/>
  <c r="G231" i="13" s="1"/>
  <c r="E231" i="13"/>
  <c r="D231" i="13"/>
  <c r="F230" i="13"/>
  <c r="G230" i="13" s="1"/>
  <c r="E230" i="13"/>
  <c r="D230" i="13"/>
  <c r="F229" i="13"/>
  <c r="G229" i="13" s="1"/>
  <c r="E229" i="13"/>
  <c r="D229" i="13"/>
  <c r="F228" i="13"/>
  <c r="G228" i="13" s="1"/>
  <c r="E228" i="13"/>
  <c r="D228" i="13"/>
  <c r="F227" i="13"/>
  <c r="G227" i="13" s="1"/>
  <c r="E227" i="13"/>
  <c r="D227" i="13"/>
  <c r="F226" i="13"/>
  <c r="G226" i="13" s="1"/>
  <c r="E226" i="13"/>
  <c r="D226" i="13"/>
  <c r="F225" i="13"/>
  <c r="G225" i="13" s="1"/>
  <c r="E225" i="13"/>
  <c r="D225" i="13"/>
  <c r="F224" i="13"/>
  <c r="G224" i="13" s="1"/>
  <c r="E224" i="13"/>
  <c r="D224" i="13"/>
  <c r="F223" i="13"/>
  <c r="G223" i="13" s="1"/>
  <c r="E223" i="13"/>
  <c r="D223" i="13"/>
  <c r="F222" i="13"/>
  <c r="G222" i="13" s="1"/>
  <c r="E222" i="13"/>
  <c r="D222" i="13"/>
  <c r="F221" i="13"/>
  <c r="G221" i="13" s="1"/>
  <c r="E221" i="13"/>
  <c r="D221" i="13"/>
  <c r="F220" i="13"/>
  <c r="G220" i="13" s="1"/>
  <c r="E220" i="13"/>
  <c r="D220" i="13"/>
  <c r="F219" i="13"/>
  <c r="G219" i="13" s="1"/>
  <c r="E219" i="13"/>
  <c r="D219" i="13"/>
  <c r="F218" i="13"/>
  <c r="G218" i="13" s="1"/>
  <c r="E218" i="13"/>
  <c r="D218" i="13"/>
  <c r="F217" i="13"/>
  <c r="G217" i="13" s="1"/>
  <c r="E217" i="13"/>
  <c r="D217" i="13"/>
  <c r="F216" i="13"/>
  <c r="G216" i="13" s="1"/>
  <c r="E216" i="13"/>
  <c r="D216" i="13"/>
  <c r="F215" i="13"/>
  <c r="G215" i="13" s="1"/>
  <c r="E215" i="13"/>
  <c r="D215" i="13"/>
  <c r="F214" i="13"/>
  <c r="G214" i="13" s="1"/>
  <c r="E214" i="13"/>
  <c r="D214" i="13"/>
  <c r="F213" i="13"/>
  <c r="G213" i="13" s="1"/>
  <c r="E213" i="13"/>
  <c r="D213" i="13"/>
  <c r="F212" i="13"/>
  <c r="G212" i="13" s="1"/>
  <c r="E212" i="13"/>
  <c r="D212" i="13"/>
  <c r="F211" i="13"/>
  <c r="G211" i="13" s="1"/>
  <c r="E211" i="13"/>
  <c r="D211" i="13"/>
  <c r="F210" i="13"/>
  <c r="G210" i="13" s="1"/>
  <c r="E210" i="13"/>
  <c r="D210" i="13"/>
  <c r="F209" i="13"/>
  <c r="G209" i="13" s="1"/>
  <c r="E209" i="13"/>
  <c r="D209" i="13"/>
  <c r="F208" i="13"/>
  <c r="G208" i="13" s="1"/>
  <c r="E208" i="13"/>
  <c r="D208" i="13"/>
  <c r="F207" i="13"/>
  <c r="G207" i="13" s="1"/>
  <c r="E207" i="13"/>
  <c r="D207" i="13"/>
  <c r="F206" i="13"/>
  <c r="G206" i="13" s="1"/>
  <c r="E206" i="13"/>
  <c r="D206" i="13"/>
  <c r="F205" i="13"/>
  <c r="G205" i="13" s="1"/>
  <c r="E205" i="13"/>
  <c r="D205" i="13"/>
  <c r="F204" i="13"/>
  <c r="G204" i="13" s="1"/>
  <c r="E204" i="13"/>
  <c r="D204" i="13"/>
  <c r="F203" i="13"/>
  <c r="G203" i="13" s="1"/>
  <c r="E203" i="13"/>
  <c r="D203" i="13"/>
  <c r="F202" i="13"/>
  <c r="G202" i="13" s="1"/>
  <c r="E202" i="13"/>
  <c r="D202" i="13"/>
  <c r="F201" i="13"/>
  <c r="G201" i="13" s="1"/>
  <c r="E201" i="13"/>
  <c r="D201" i="13"/>
  <c r="F200" i="13"/>
  <c r="G200" i="13" s="1"/>
  <c r="E200" i="13"/>
  <c r="D200" i="13"/>
  <c r="F199" i="13"/>
  <c r="G199" i="13" s="1"/>
  <c r="E199" i="13"/>
  <c r="D199" i="13"/>
  <c r="F198" i="13"/>
  <c r="G198" i="13" s="1"/>
  <c r="E198" i="13"/>
  <c r="D198" i="13"/>
  <c r="F197" i="13"/>
  <c r="G197" i="13" s="1"/>
  <c r="E197" i="13"/>
  <c r="D197" i="13"/>
  <c r="F196" i="13"/>
  <c r="G196" i="13" s="1"/>
  <c r="E196" i="13"/>
  <c r="D196" i="13"/>
  <c r="F195" i="13"/>
  <c r="G195" i="13" s="1"/>
  <c r="E195" i="13"/>
  <c r="D195" i="13"/>
  <c r="F194" i="13"/>
  <c r="G194" i="13" s="1"/>
  <c r="E194" i="13"/>
  <c r="D194" i="13"/>
  <c r="F193" i="13"/>
  <c r="G193" i="13" s="1"/>
  <c r="E193" i="13"/>
  <c r="D193" i="13"/>
  <c r="F192" i="13"/>
  <c r="G192" i="13" s="1"/>
  <c r="E192" i="13"/>
  <c r="D192" i="13"/>
  <c r="F191" i="13"/>
  <c r="G191" i="13" s="1"/>
  <c r="E191" i="13"/>
  <c r="D191" i="13"/>
  <c r="F190" i="13"/>
  <c r="G190" i="13" s="1"/>
  <c r="E190" i="13"/>
  <c r="D190" i="13"/>
  <c r="F189" i="13"/>
  <c r="G189" i="13" s="1"/>
  <c r="E189" i="13"/>
  <c r="D189" i="13"/>
  <c r="F188" i="13"/>
  <c r="G188" i="13" s="1"/>
  <c r="E188" i="13"/>
  <c r="D188" i="13"/>
  <c r="F187" i="13"/>
  <c r="G187" i="13" s="1"/>
  <c r="E187" i="13"/>
  <c r="D187" i="13"/>
  <c r="F186" i="13"/>
  <c r="G186" i="13" s="1"/>
  <c r="E186" i="13"/>
  <c r="D186" i="13"/>
  <c r="F185" i="13"/>
  <c r="G185" i="13" s="1"/>
  <c r="E185" i="13"/>
  <c r="D185" i="13"/>
  <c r="F184" i="13"/>
  <c r="G184" i="13" s="1"/>
  <c r="E184" i="13"/>
  <c r="D184" i="13"/>
  <c r="F183" i="13"/>
  <c r="G183" i="13" s="1"/>
  <c r="E183" i="13"/>
  <c r="D183" i="13"/>
  <c r="F182" i="13"/>
  <c r="G182" i="13" s="1"/>
  <c r="E182" i="13"/>
  <c r="D182" i="13"/>
  <c r="J181" i="13"/>
  <c r="G181" i="13"/>
  <c r="E181" i="13"/>
  <c r="F181" i="13" s="1"/>
  <c r="D181" i="13"/>
  <c r="E180" i="13"/>
  <c r="F180" i="13" s="1"/>
  <c r="G180" i="13" s="1"/>
  <c r="D180" i="13"/>
  <c r="G179" i="13"/>
  <c r="E179" i="13"/>
  <c r="F179" i="13" s="1"/>
  <c r="D179" i="13"/>
  <c r="E178" i="13"/>
  <c r="F178" i="13" s="1"/>
  <c r="G178" i="13" s="1"/>
  <c r="D178" i="13"/>
  <c r="G177" i="13"/>
  <c r="E177" i="13"/>
  <c r="F177" i="13" s="1"/>
  <c r="D177" i="13"/>
  <c r="E176" i="13"/>
  <c r="F176" i="13" s="1"/>
  <c r="G176" i="13" s="1"/>
  <c r="D176" i="13"/>
  <c r="G175" i="13"/>
  <c r="E175" i="13"/>
  <c r="F175" i="13" s="1"/>
  <c r="D175" i="13"/>
  <c r="E174" i="13"/>
  <c r="F174" i="13" s="1"/>
  <c r="G174" i="13" s="1"/>
  <c r="D174" i="13"/>
  <c r="G173" i="13"/>
  <c r="E173" i="13"/>
  <c r="F173" i="13" s="1"/>
  <c r="D173" i="13"/>
  <c r="E172" i="13"/>
  <c r="F172" i="13" s="1"/>
  <c r="G172" i="13" s="1"/>
  <c r="D172" i="13"/>
  <c r="G171" i="13"/>
  <c r="E171" i="13"/>
  <c r="F171" i="13" s="1"/>
  <c r="D171" i="13"/>
  <c r="E170" i="13"/>
  <c r="F170" i="13" s="1"/>
  <c r="G170" i="13" s="1"/>
  <c r="D170" i="13"/>
  <c r="G169" i="13"/>
  <c r="E169" i="13"/>
  <c r="F169" i="13" s="1"/>
  <c r="D169" i="13"/>
  <c r="E168" i="13"/>
  <c r="F168" i="13" s="1"/>
  <c r="G168" i="13" s="1"/>
  <c r="D168" i="13"/>
  <c r="G167" i="13"/>
  <c r="E167" i="13"/>
  <c r="F167" i="13" s="1"/>
  <c r="D167" i="13"/>
  <c r="E166" i="13"/>
  <c r="F166" i="13" s="1"/>
  <c r="G166" i="13" s="1"/>
  <c r="D166" i="13"/>
  <c r="G165" i="13"/>
  <c r="E165" i="13"/>
  <c r="F165" i="13" s="1"/>
  <c r="D165" i="13"/>
  <c r="E164" i="13"/>
  <c r="F164" i="13" s="1"/>
  <c r="G164" i="13" s="1"/>
  <c r="D164" i="13"/>
  <c r="G163" i="13"/>
  <c r="E163" i="13"/>
  <c r="F163" i="13" s="1"/>
  <c r="D163" i="13"/>
  <c r="E162" i="13"/>
  <c r="F162" i="13" s="1"/>
  <c r="G162" i="13" s="1"/>
  <c r="D162" i="13"/>
  <c r="G161" i="13"/>
  <c r="E161" i="13"/>
  <c r="F161" i="13" s="1"/>
  <c r="D161" i="13"/>
  <c r="E160" i="13"/>
  <c r="F160" i="13" s="1"/>
  <c r="G160" i="13" s="1"/>
  <c r="D160" i="13"/>
  <c r="G159" i="13"/>
  <c r="E159" i="13"/>
  <c r="F159" i="13" s="1"/>
  <c r="D159" i="13"/>
  <c r="E158" i="13"/>
  <c r="F158" i="13" s="1"/>
  <c r="G158" i="13" s="1"/>
  <c r="D158" i="13"/>
  <c r="G157" i="13"/>
  <c r="E157" i="13"/>
  <c r="F157" i="13" s="1"/>
  <c r="D157" i="13"/>
  <c r="E156" i="13"/>
  <c r="F156" i="13" s="1"/>
  <c r="G156" i="13" s="1"/>
  <c r="D156" i="13"/>
  <c r="G155" i="13"/>
  <c r="E155" i="13"/>
  <c r="F155" i="13" s="1"/>
  <c r="D155" i="13"/>
  <c r="E154" i="13"/>
  <c r="F154" i="13" s="1"/>
  <c r="G154" i="13" s="1"/>
  <c r="D154" i="13"/>
  <c r="G153" i="13"/>
  <c r="E153" i="13"/>
  <c r="F153" i="13" s="1"/>
  <c r="D153" i="13"/>
  <c r="E152" i="13"/>
  <c r="F152" i="13" s="1"/>
  <c r="G152" i="13" s="1"/>
  <c r="D152" i="13"/>
  <c r="G151" i="13"/>
  <c r="E151" i="13"/>
  <c r="F151" i="13" s="1"/>
  <c r="D151" i="13"/>
  <c r="E150" i="13"/>
  <c r="F150" i="13" s="1"/>
  <c r="G150" i="13" s="1"/>
  <c r="D150" i="13"/>
  <c r="G149" i="13"/>
  <c r="E149" i="13"/>
  <c r="F149" i="13" s="1"/>
  <c r="D149" i="13"/>
  <c r="F148" i="13"/>
  <c r="G148" i="13" s="1"/>
  <c r="E148" i="13"/>
  <c r="D148" i="13"/>
  <c r="F147" i="13"/>
  <c r="G147" i="13" s="1"/>
  <c r="E147" i="13"/>
  <c r="D147" i="13"/>
  <c r="F146" i="13"/>
  <c r="G146" i="13" s="1"/>
  <c r="E146" i="13"/>
  <c r="D146" i="13"/>
  <c r="F145" i="13"/>
  <c r="G145" i="13" s="1"/>
  <c r="E145" i="13"/>
  <c r="D145" i="13"/>
  <c r="F144" i="13"/>
  <c r="G144" i="13" s="1"/>
  <c r="E144" i="13"/>
  <c r="D144" i="13"/>
  <c r="F143" i="13"/>
  <c r="G143" i="13" s="1"/>
  <c r="E143" i="13"/>
  <c r="D143" i="13"/>
  <c r="F142" i="13"/>
  <c r="G142" i="13" s="1"/>
  <c r="E142" i="13"/>
  <c r="D142" i="13"/>
  <c r="F141" i="13"/>
  <c r="G141" i="13" s="1"/>
  <c r="E141" i="13"/>
  <c r="D141" i="13"/>
  <c r="J140" i="13"/>
  <c r="E140" i="13"/>
  <c r="F140" i="13" s="1"/>
  <c r="G140" i="13" s="1"/>
  <c r="D140" i="13"/>
  <c r="E139" i="13"/>
  <c r="F139" i="13" s="1"/>
  <c r="G139" i="13" s="1"/>
  <c r="D139" i="13"/>
  <c r="E138" i="13"/>
  <c r="F138" i="13" s="1"/>
  <c r="G138" i="13" s="1"/>
  <c r="D138" i="13"/>
  <c r="E137" i="13"/>
  <c r="F137" i="13" s="1"/>
  <c r="G137" i="13" s="1"/>
  <c r="D137" i="13"/>
  <c r="E136" i="13"/>
  <c r="F136" i="13" s="1"/>
  <c r="G136" i="13" s="1"/>
  <c r="D136" i="13"/>
  <c r="E135" i="13"/>
  <c r="F135" i="13" s="1"/>
  <c r="G135" i="13" s="1"/>
  <c r="D135" i="13"/>
  <c r="E134" i="13"/>
  <c r="F134" i="13" s="1"/>
  <c r="G134" i="13" s="1"/>
  <c r="D134" i="13"/>
  <c r="E133" i="13"/>
  <c r="F133" i="13" s="1"/>
  <c r="G133" i="13" s="1"/>
  <c r="D133" i="13"/>
  <c r="E132" i="13"/>
  <c r="F132" i="13" s="1"/>
  <c r="G132" i="13" s="1"/>
  <c r="D132" i="13"/>
  <c r="E131" i="13"/>
  <c r="F131" i="13" s="1"/>
  <c r="G131" i="13" s="1"/>
  <c r="D131" i="13"/>
  <c r="E130" i="13"/>
  <c r="F130" i="13" s="1"/>
  <c r="G130" i="13" s="1"/>
  <c r="D130" i="13"/>
  <c r="E129" i="13"/>
  <c r="F129" i="13" s="1"/>
  <c r="G129" i="13" s="1"/>
  <c r="D129" i="13"/>
  <c r="E128" i="13"/>
  <c r="F128" i="13" s="1"/>
  <c r="G128" i="13" s="1"/>
  <c r="D128" i="13"/>
  <c r="E127" i="13"/>
  <c r="F127" i="13" s="1"/>
  <c r="G127" i="13" s="1"/>
  <c r="D127" i="13"/>
  <c r="E126" i="13"/>
  <c r="F126" i="13" s="1"/>
  <c r="G126" i="13" s="1"/>
  <c r="D126" i="13"/>
  <c r="E125" i="13"/>
  <c r="F125" i="13" s="1"/>
  <c r="G125" i="13" s="1"/>
  <c r="D125" i="13"/>
  <c r="E124" i="13"/>
  <c r="F124" i="13" s="1"/>
  <c r="G124" i="13" s="1"/>
  <c r="D124" i="13"/>
  <c r="E123" i="13"/>
  <c r="F123" i="13" s="1"/>
  <c r="G123" i="13" s="1"/>
  <c r="D123" i="13"/>
  <c r="E122" i="13"/>
  <c r="F122" i="13" s="1"/>
  <c r="G122" i="13" s="1"/>
  <c r="D122" i="13"/>
  <c r="E121" i="13"/>
  <c r="F121" i="13" s="1"/>
  <c r="G121" i="13" s="1"/>
  <c r="D121" i="13"/>
  <c r="E120" i="13"/>
  <c r="F120" i="13" s="1"/>
  <c r="G120" i="13" s="1"/>
  <c r="D120" i="13"/>
  <c r="E119" i="13"/>
  <c r="F119" i="13" s="1"/>
  <c r="G119" i="13" s="1"/>
  <c r="D119" i="13"/>
  <c r="E118" i="13"/>
  <c r="F118" i="13" s="1"/>
  <c r="G118" i="13" s="1"/>
  <c r="D118" i="13"/>
  <c r="E117" i="13"/>
  <c r="F117" i="13" s="1"/>
  <c r="G117" i="13" s="1"/>
  <c r="D117" i="13"/>
  <c r="E116" i="13"/>
  <c r="F116" i="13" s="1"/>
  <c r="G116" i="13" s="1"/>
  <c r="D116" i="13"/>
  <c r="E115" i="13"/>
  <c r="F115" i="13" s="1"/>
  <c r="G115" i="13" s="1"/>
  <c r="D115" i="13"/>
  <c r="E114" i="13"/>
  <c r="F114" i="13" s="1"/>
  <c r="G114" i="13" s="1"/>
  <c r="D114" i="13"/>
  <c r="E113" i="13"/>
  <c r="F113" i="13" s="1"/>
  <c r="G113" i="13" s="1"/>
  <c r="D113" i="13"/>
  <c r="E112" i="13"/>
  <c r="F112" i="13" s="1"/>
  <c r="G112" i="13" s="1"/>
  <c r="D112" i="13"/>
  <c r="E111" i="13"/>
  <c r="F111" i="13" s="1"/>
  <c r="G111" i="13" s="1"/>
  <c r="D111" i="13"/>
  <c r="E110" i="13"/>
  <c r="F110" i="13" s="1"/>
  <c r="G110" i="13" s="1"/>
  <c r="D110" i="13"/>
  <c r="E109" i="13"/>
  <c r="F109" i="13" s="1"/>
  <c r="G109" i="13" s="1"/>
  <c r="D109" i="13"/>
  <c r="E108" i="13"/>
  <c r="F108" i="13" s="1"/>
  <c r="G108" i="13" s="1"/>
  <c r="D108" i="13"/>
  <c r="E107" i="13"/>
  <c r="F107" i="13" s="1"/>
  <c r="G107" i="13" s="1"/>
  <c r="D107" i="13"/>
  <c r="E106" i="13"/>
  <c r="F106" i="13" s="1"/>
  <c r="G106" i="13" s="1"/>
  <c r="D106" i="13"/>
  <c r="E105" i="13"/>
  <c r="F105" i="13" s="1"/>
  <c r="G105" i="13" s="1"/>
  <c r="D105" i="13"/>
  <c r="E104" i="13"/>
  <c r="F104" i="13" s="1"/>
  <c r="G104" i="13" s="1"/>
  <c r="D104" i="13"/>
  <c r="E103" i="13"/>
  <c r="F103" i="13" s="1"/>
  <c r="G103" i="13" s="1"/>
  <c r="D103" i="13"/>
  <c r="E102" i="13"/>
  <c r="F102" i="13" s="1"/>
  <c r="G102" i="13" s="1"/>
  <c r="D102" i="13"/>
  <c r="E101" i="13"/>
  <c r="F101" i="13" s="1"/>
  <c r="G101" i="13" s="1"/>
  <c r="D101" i="13"/>
  <c r="E100" i="13"/>
  <c r="F100" i="13" s="1"/>
  <c r="G100" i="13" s="1"/>
  <c r="D100" i="13"/>
  <c r="E99" i="13"/>
  <c r="F99" i="13" s="1"/>
  <c r="G99" i="13" s="1"/>
  <c r="D99" i="13"/>
  <c r="E98" i="13"/>
  <c r="F98" i="13" s="1"/>
  <c r="G98" i="13" s="1"/>
  <c r="D98" i="13"/>
  <c r="E97" i="13"/>
  <c r="F97" i="13" s="1"/>
  <c r="G97" i="13" s="1"/>
  <c r="D97" i="13"/>
  <c r="E96" i="13"/>
  <c r="F96" i="13" s="1"/>
  <c r="G96" i="13" s="1"/>
  <c r="D96" i="13"/>
  <c r="E95" i="13"/>
  <c r="F95" i="13" s="1"/>
  <c r="G95" i="13" s="1"/>
  <c r="D95" i="13"/>
  <c r="E94" i="13"/>
  <c r="F94" i="13" s="1"/>
  <c r="G94" i="13" s="1"/>
  <c r="D94" i="13"/>
  <c r="E93" i="13"/>
  <c r="F93" i="13" s="1"/>
  <c r="G93" i="13" s="1"/>
  <c r="D93" i="13"/>
  <c r="E92" i="13"/>
  <c r="F92" i="13" s="1"/>
  <c r="G92" i="13" s="1"/>
  <c r="D92" i="13"/>
  <c r="E91" i="13"/>
  <c r="F91" i="13" s="1"/>
  <c r="G91" i="13" s="1"/>
  <c r="D91" i="13"/>
  <c r="E90" i="13"/>
  <c r="F90" i="13" s="1"/>
  <c r="G90" i="13" s="1"/>
  <c r="D90" i="13"/>
  <c r="E89" i="13"/>
  <c r="F89" i="13" s="1"/>
  <c r="G89" i="13" s="1"/>
  <c r="D89" i="13"/>
  <c r="E88" i="13"/>
  <c r="F88" i="13" s="1"/>
  <c r="G88" i="13" s="1"/>
  <c r="D88" i="13"/>
  <c r="E87" i="13"/>
  <c r="F87" i="13" s="1"/>
  <c r="G87" i="13" s="1"/>
  <c r="D87" i="13"/>
  <c r="E86" i="13"/>
  <c r="F86" i="13" s="1"/>
  <c r="G86" i="13" s="1"/>
  <c r="D86" i="13"/>
  <c r="E85" i="13"/>
  <c r="F85" i="13" s="1"/>
  <c r="G85" i="13" s="1"/>
  <c r="D85" i="13"/>
  <c r="E84" i="13"/>
  <c r="F84" i="13" s="1"/>
  <c r="G84" i="13" s="1"/>
  <c r="D84" i="13"/>
  <c r="E83" i="13"/>
  <c r="F83" i="13" s="1"/>
  <c r="G83" i="13" s="1"/>
  <c r="D83" i="13"/>
  <c r="E82" i="13"/>
  <c r="F82" i="13" s="1"/>
  <c r="G82" i="13" s="1"/>
  <c r="D82" i="13"/>
  <c r="E81" i="13"/>
  <c r="F81" i="13" s="1"/>
  <c r="G81" i="13" s="1"/>
  <c r="D81" i="13"/>
  <c r="E80" i="13"/>
  <c r="F80" i="13" s="1"/>
  <c r="G80" i="13" s="1"/>
  <c r="D80" i="13"/>
  <c r="E79" i="13"/>
  <c r="F79" i="13" s="1"/>
  <c r="G79" i="13" s="1"/>
  <c r="D79" i="13"/>
  <c r="E78" i="13"/>
  <c r="F78" i="13" s="1"/>
  <c r="G78" i="13" s="1"/>
  <c r="D78" i="13"/>
  <c r="E77" i="13"/>
  <c r="F77" i="13" s="1"/>
  <c r="G77" i="13" s="1"/>
  <c r="D77" i="13"/>
  <c r="E76" i="13"/>
  <c r="F76" i="13" s="1"/>
  <c r="G76" i="13" s="1"/>
  <c r="D76" i="13"/>
  <c r="E75" i="13"/>
  <c r="F75" i="13" s="1"/>
  <c r="G75" i="13" s="1"/>
  <c r="D75" i="13"/>
  <c r="E74" i="13"/>
  <c r="F74" i="13" s="1"/>
  <c r="G74" i="13" s="1"/>
  <c r="D74" i="13"/>
  <c r="E73" i="13"/>
  <c r="F73" i="13" s="1"/>
  <c r="G73" i="13" s="1"/>
  <c r="D73" i="13"/>
  <c r="E72" i="13"/>
  <c r="F72" i="13" s="1"/>
  <c r="G72" i="13" s="1"/>
  <c r="D72" i="13"/>
  <c r="E71" i="13"/>
  <c r="F71" i="13" s="1"/>
  <c r="G71" i="13" s="1"/>
  <c r="D71" i="13"/>
  <c r="E70" i="13"/>
  <c r="F70" i="13" s="1"/>
  <c r="G70" i="13" s="1"/>
  <c r="D70" i="13"/>
  <c r="E69" i="13"/>
  <c r="F69" i="13" s="1"/>
  <c r="G69" i="13" s="1"/>
  <c r="D69" i="13"/>
  <c r="E68" i="13"/>
  <c r="F68" i="13" s="1"/>
  <c r="G68" i="13" s="1"/>
  <c r="D68" i="13"/>
  <c r="E67" i="13"/>
  <c r="F67" i="13" s="1"/>
  <c r="G67" i="13" s="1"/>
  <c r="D67" i="13"/>
  <c r="E66" i="13"/>
  <c r="F66" i="13" s="1"/>
  <c r="G66" i="13" s="1"/>
  <c r="D66" i="13"/>
  <c r="J65" i="13"/>
  <c r="E65" i="13"/>
  <c r="F65" i="13" s="1"/>
  <c r="G65" i="13" s="1"/>
  <c r="D65" i="13"/>
  <c r="E64" i="13"/>
  <c r="F64" i="13" s="1"/>
  <c r="G64" i="13" s="1"/>
  <c r="D64" i="13"/>
  <c r="E63" i="13"/>
  <c r="F63" i="13" s="1"/>
  <c r="G63" i="13" s="1"/>
  <c r="D63" i="13"/>
  <c r="E62" i="13"/>
  <c r="F62" i="13" s="1"/>
  <c r="G62" i="13" s="1"/>
  <c r="D62" i="13"/>
  <c r="E61" i="13"/>
  <c r="F61" i="13" s="1"/>
  <c r="G61" i="13" s="1"/>
  <c r="D61" i="13"/>
  <c r="E60" i="13"/>
  <c r="F60" i="13" s="1"/>
  <c r="G60" i="13" s="1"/>
  <c r="D60" i="13"/>
  <c r="E59" i="13"/>
  <c r="F59" i="13" s="1"/>
  <c r="G59" i="13" s="1"/>
  <c r="D59" i="13"/>
  <c r="E58" i="13"/>
  <c r="F58" i="13" s="1"/>
  <c r="G58" i="13" s="1"/>
  <c r="D58" i="13"/>
  <c r="E57" i="13"/>
  <c r="F57" i="13" s="1"/>
  <c r="G57" i="13" s="1"/>
  <c r="D57" i="13"/>
  <c r="E56" i="13"/>
  <c r="F56" i="13" s="1"/>
  <c r="G56" i="13" s="1"/>
  <c r="D56" i="13"/>
  <c r="E55" i="13"/>
  <c r="F55" i="13" s="1"/>
  <c r="G55" i="13" s="1"/>
  <c r="D55" i="13"/>
  <c r="E54" i="13"/>
  <c r="F54" i="13" s="1"/>
  <c r="G54" i="13" s="1"/>
  <c r="D54" i="13"/>
  <c r="E53" i="13"/>
  <c r="F53" i="13" s="1"/>
  <c r="G53" i="13" s="1"/>
  <c r="D53" i="13"/>
  <c r="E52" i="13"/>
  <c r="F52" i="13" s="1"/>
  <c r="G52" i="13" s="1"/>
  <c r="D52" i="13"/>
  <c r="E51" i="13"/>
  <c r="F51" i="13" s="1"/>
  <c r="G51" i="13" s="1"/>
  <c r="D51" i="13"/>
  <c r="E50" i="13"/>
  <c r="F50" i="13" s="1"/>
  <c r="G50" i="13" s="1"/>
  <c r="D50" i="13"/>
  <c r="E49" i="13"/>
  <c r="F49" i="13" s="1"/>
  <c r="G49" i="13" s="1"/>
  <c r="D49" i="13"/>
  <c r="E48" i="13"/>
  <c r="F48" i="13" s="1"/>
  <c r="G48" i="13" s="1"/>
  <c r="D48" i="13"/>
  <c r="E47" i="13"/>
  <c r="F47" i="13" s="1"/>
  <c r="G47" i="13" s="1"/>
  <c r="D47" i="13"/>
  <c r="E46" i="13"/>
  <c r="F46" i="13" s="1"/>
  <c r="G46" i="13" s="1"/>
  <c r="D46" i="13"/>
  <c r="E45" i="13"/>
  <c r="F45" i="13" s="1"/>
  <c r="G45" i="13" s="1"/>
  <c r="D45" i="13"/>
  <c r="E44" i="13"/>
  <c r="F44" i="13" s="1"/>
  <c r="G44" i="13" s="1"/>
  <c r="D44" i="13"/>
  <c r="E43" i="13"/>
  <c r="F43" i="13" s="1"/>
  <c r="G43" i="13" s="1"/>
  <c r="D43" i="13"/>
  <c r="E42" i="13"/>
  <c r="D42" i="13"/>
  <c r="F41" i="13"/>
  <c r="G41" i="13" s="1"/>
  <c r="D41" i="13"/>
  <c r="G40" i="13"/>
  <c r="F40" i="13"/>
  <c r="D40" i="13"/>
  <c r="G39" i="13"/>
  <c r="F39" i="13"/>
  <c r="D39" i="13"/>
  <c r="F38" i="13"/>
  <c r="G38" i="13" s="1"/>
  <c r="D38" i="13"/>
  <c r="F37" i="13"/>
  <c r="G37" i="13" s="1"/>
  <c r="D37" i="13"/>
  <c r="G36" i="13"/>
  <c r="F36" i="13"/>
  <c r="D36" i="13"/>
  <c r="G35" i="13"/>
  <c r="F35" i="13"/>
  <c r="D35" i="13"/>
  <c r="F34" i="13"/>
  <c r="G34" i="13" s="1"/>
  <c r="D34" i="13"/>
  <c r="F33" i="13"/>
  <c r="G33" i="13" s="1"/>
  <c r="D33" i="13"/>
  <c r="F32" i="13"/>
  <c r="G32" i="13" s="1"/>
  <c r="D32" i="13"/>
  <c r="G31" i="13"/>
  <c r="F31" i="13"/>
  <c r="D31" i="13"/>
  <c r="G30" i="13"/>
  <c r="F30" i="13"/>
  <c r="D30" i="13"/>
  <c r="F29" i="13"/>
  <c r="G29" i="13" s="1"/>
  <c r="D29" i="13"/>
  <c r="Y28" i="13"/>
  <c r="N28" i="13"/>
  <c r="O28" i="13" s="1"/>
  <c r="G28" i="13"/>
  <c r="F28" i="13"/>
  <c r="D28" i="13"/>
  <c r="O27" i="13"/>
  <c r="N27" i="13"/>
  <c r="J27" i="13"/>
  <c r="G27" i="13"/>
  <c r="F27" i="13"/>
  <c r="D27" i="13"/>
  <c r="Z26" i="13"/>
  <c r="N26" i="13"/>
  <c r="O26" i="13" s="1"/>
  <c r="G26" i="13"/>
  <c r="F26" i="13"/>
  <c r="D26" i="13"/>
  <c r="Z25" i="13"/>
  <c r="N25" i="13"/>
  <c r="O25" i="13" s="1"/>
  <c r="G25" i="13"/>
  <c r="F25" i="13"/>
  <c r="D25" i="13"/>
  <c r="Z24" i="13"/>
  <c r="N24" i="13"/>
  <c r="O24" i="13" s="1"/>
  <c r="G24" i="13"/>
  <c r="F24" i="13"/>
  <c r="D24" i="13"/>
  <c r="Z23" i="13"/>
  <c r="N23" i="13"/>
  <c r="O23" i="13" s="1"/>
  <c r="G23" i="13"/>
  <c r="F23" i="13"/>
  <c r="D23" i="13"/>
  <c r="Z22" i="13"/>
  <c r="N22" i="13"/>
  <c r="O22" i="13" s="1"/>
  <c r="G22" i="13"/>
  <c r="F22" i="13"/>
  <c r="D22" i="13"/>
  <c r="Z21" i="13"/>
  <c r="N21" i="13"/>
  <c r="O21" i="13" s="1"/>
  <c r="G21" i="13"/>
  <c r="F21" i="13"/>
  <c r="D21" i="13"/>
  <c r="Z20" i="13"/>
  <c r="N20" i="13"/>
  <c r="O20" i="13" s="1"/>
  <c r="G20" i="13"/>
  <c r="F20" i="13"/>
  <c r="D20" i="13"/>
  <c r="Z19" i="13"/>
  <c r="N19" i="13"/>
  <c r="O19" i="13" s="1"/>
  <c r="F19" i="13"/>
  <c r="G19" i="13" s="1"/>
  <c r="D19" i="13"/>
  <c r="Z18" i="13"/>
  <c r="N18" i="13"/>
  <c r="O18" i="13" s="1"/>
  <c r="G18" i="13"/>
  <c r="F18" i="13"/>
  <c r="D18" i="13"/>
  <c r="Z17" i="13"/>
  <c r="N17" i="13"/>
  <c r="O17" i="13" s="1"/>
  <c r="F17" i="13"/>
  <c r="G17" i="13" s="1"/>
  <c r="D17" i="13"/>
  <c r="Z16" i="13"/>
  <c r="N16" i="13"/>
  <c r="O16" i="13" s="1"/>
  <c r="G16" i="13"/>
  <c r="F16" i="13"/>
  <c r="D16" i="13"/>
  <c r="Z15" i="13"/>
  <c r="N15" i="13"/>
  <c r="O15" i="13" s="1"/>
  <c r="F15" i="13"/>
  <c r="G15" i="13" s="1"/>
  <c r="D15" i="13"/>
  <c r="Z14" i="13"/>
  <c r="N14" i="13"/>
  <c r="O14" i="13" s="1"/>
  <c r="G14" i="13"/>
  <c r="F14" i="13"/>
  <c r="D14" i="13"/>
  <c r="Z13" i="13"/>
  <c r="N13" i="13"/>
  <c r="O13" i="13" s="1"/>
  <c r="F13" i="13"/>
  <c r="G13" i="13" s="1"/>
  <c r="D13" i="13"/>
  <c r="Z12" i="13"/>
  <c r="N12" i="13"/>
  <c r="O12" i="13" s="1"/>
  <c r="G12" i="13"/>
  <c r="F12" i="13"/>
  <c r="D12" i="13"/>
  <c r="Z11" i="13"/>
  <c r="N11" i="13"/>
  <c r="O11" i="13" s="1"/>
  <c r="F11" i="13"/>
  <c r="G11" i="13" s="1"/>
  <c r="D11" i="13"/>
  <c r="Z10" i="13"/>
  <c r="N10" i="13"/>
  <c r="O10" i="13" s="1"/>
  <c r="G10" i="13"/>
  <c r="F10" i="13"/>
  <c r="D10" i="13"/>
  <c r="Z9" i="13"/>
  <c r="N9" i="13"/>
  <c r="O9" i="13" s="1"/>
  <c r="F9" i="13"/>
  <c r="G9" i="13" s="1"/>
  <c r="D9" i="13"/>
  <c r="Z8" i="13"/>
  <c r="N8" i="13"/>
  <c r="O8" i="13" s="1"/>
  <c r="G8" i="13"/>
  <c r="F8" i="13"/>
  <c r="D8" i="13"/>
  <c r="Z7" i="13"/>
  <c r="N7" i="13"/>
  <c r="O7" i="13" s="1"/>
  <c r="F7" i="13"/>
  <c r="G7" i="13" s="1"/>
  <c r="D7" i="13"/>
  <c r="Z6" i="13"/>
  <c r="N6" i="13"/>
  <c r="O6" i="13" s="1"/>
  <c r="G6" i="13"/>
  <c r="F6" i="13"/>
  <c r="D6" i="13"/>
  <c r="Z5" i="13"/>
  <c r="N5" i="13"/>
  <c r="O5" i="13" s="1"/>
  <c r="F5" i="13"/>
  <c r="G5" i="13" s="1"/>
  <c r="D5" i="13"/>
  <c r="Z4" i="13"/>
  <c r="Z28" i="13" s="1"/>
  <c r="Z32" i="13" s="1"/>
  <c r="N4" i="13"/>
  <c r="O4" i="13" s="1"/>
  <c r="G4" i="13"/>
  <c r="F4" i="13"/>
  <c r="D4" i="13"/>
  <c r="F3" i="13"/>
  <c r="G3" i="13" s="1"/>
  <c r="D3" i="13"/>
  <c r="T2" i="13"/>
  <c r="Q27" i="13" s="1"/>
  <c r="R27" i="13" s="1"/>
  <c r="J2" i="13"/>
  <c r="G2" i="13"/>
  <c r="F2" i="13"/>
  <c r="D2" i="13"/>
  <c r="D621" i="13" s="1"/>
  <c r="J22" i="12"/>
  <c r="E22" i="12"/>
  <c r="J21" i="12"/>
  <c r="J23" i="12" s="1"/>
  <c r="J24" i="12" s="1"/>
  <c r="E21" i="12"/>
  <c r="E23" i="12" s="1"/>
  <c r="E24" i="12" s="1"/>
  <c r="C13" i="12" s="1"/>
  <c r="G11" i="12"/>
  <c r="F6" i="12"/>
  <c r="F10" i="12" s="1"/>
  <c r="E6" i="12"/>
  <c r="E10" i="12" s="1"/>
  <c r="D6" i="12"/>
  <c r="D10" i="12" s="1"/>
  <c r="C6" i="12"/>
  <c r="C10" i="12" s="1"/>
  <c r="X28" i="11"/>
  <c r="W28" i="11"/>
  <c r="Q28" i="11"/>
  <c r="R28" i="11" s="1"/>
  <c r="L28" i="11"/>
  <c r="K28" i="11"/>
  <c r="V27" i="11"/>
  <c r="P27" i="11"/>
  <c r="J27" i="11"/>
  <c r="E26" i="11"/>
  <c r="V31" i="11" s="1"/>
  <c r="D26" i="11"/>
  <c r="P31" i="11" s="1"/>
  <c r="C26" i="11"/>
  <c r="J31" i="11" s="1"/>
  <c r="W23" i="11"/>
  <c r="E23" i="11"/>
  <c r="V17" i="11" s="1"/>
  <c r="D23" i="11"/>
  <c r="C23" i="11"/>
  <c r="W22" i="11"/>
  <c r="Q22" i="11"/>
  <c r="Q23" i="11" s="1"/>
  <c r="R23" i="11" s="1"/>
  <c r="K22" i="11"/>
  <c r="E22" i="11"/>
  <c r="D22" i="11"/>
  <c r="C22" i="11"/>
  <c r="W21" i="11"/>
  <c r="W24" i="11" s="1"/>
  <c r="Q21" i="11"/>
  <c r="K21" i="11"/>
  <c r="K23" i="11" s="1"/>
  <c r="X20" i="11"/>
  <c r="R20" i="11"/>
  <c r="L20" i="11"/>
  <c r="W19" i="11"/>
  <c r="T19" i="11"/>
  <c r="Q19" i="11"/>
  <c r="R19" i="11" s="1"/>
  <c r="N19" i="11"/>
  <c r="K19" i="11"/>
  <c r="H19" i="11"/>
  <c r="X18" i="11"/>
  <c r="W18" i="11"/>
  <c r="Q18" i="11"/>
  <c r="R18" i="11" s="1"/>
  <c r="L18" i="11"/>
  <c r="K18" i="11"/>
  <c r="T17" i="11"/>
  <c r="P17" i="11"/>
  <c r="N17" i="11"/>
  <c r="J17" i="11"/>
  <c r="H17" i="11"/>
  <c r="V15" i="11"/>
  <c r="P15" i="11"/>
  <c r="J15" i="11"/>
  <c r="E15" i="11"/>
  <c r="V12" i="11" s="1"/>
  <c r="X12" i="11" s="1"/>
  <c r="D15" i="11"/>
  <c r="P12" i="11" s="1"/>
  <c r="R12" i="11" s="1"/>
  <c r="C15" i="11"/>
  <c r="E13" i="11"/>
  <c r="D13" i="11"/>
  <c r="C13" i="11"/>
  <c r="L12" i="11"/>
  <c r="J12" i="11"/>
  <c r="E12" i="11"/>
  <c r="D12" i="11"/>
  <c r="C12" i="11"/>
  <c r="J9" i="11" s="1"/>
  <c r="L9" i="11" s="1"/>
  <c r="W11" i="11"/>
  <c r="Q11" i="11"/>
  <c r="K11" i="11"/>
  <c r="K13" i="11" s="1"/>
  <c r="L19" i="11" s="1"/>
  <c r="J11" i="11"/>
  <c r="P11" i="11" s="1"/>
  <c r="W10" i="11"/>
  <c r="V10" i="11"/>
  <c r="X10" i="11" s="1"/>
  <c r="R10" i="11"/>
  <c r="Q10" i="11"/>
  <c r="P10" i="11"/>
  <c r="L10" i="11"/>
  <c r="K10" i="11"/>
  <c r="J10" i="11"/>
  <c r="W9" i="11"/>
  <c r="W13" i="11" s="1"/>
  <c r="V9" i="11"/>
  <c r="X9" i="11" s="1"/>
  <c r="Q9" i="11"/>
  <c r="Q13" i="11" s="1"/>
  <c r="P9" i="11"/>
  <c r="R9" i="11" s="1"/>
  <c r="K9" i="11"/>
  <c r="C8" i="11"/>
  <c r="C7" i="11"/>
  <c r="X6" i="11"/>
  <c r="R6" i="11"/>
  <c r="L6" i="11"/>
  <c r="C6" i="11"/>
  <c r="C5" i="11"/>
  <c r="C4" i="11"/>
  <c r="Q6" i="13" l="1"/>
  <c r="R6" i="13" s="1"/>
  <c r="Q10" i="13"/>
  <c r="R10" i="13" s="1"/>
  <c r="Q18" i="13"/>
  <c r="R18" i="13" s="1"/>
  <c r="Q5" i="13"/>
  <c r="R5" i="13" s="1"/>
  <c r="Q9" i="13"/>
  <c r="R9" i="13" s="1"/>
  <c r="Q13" i="13"/>
  <c r="R13" i="13" s="1"/>
  <c r="Q17" i="13"/>
  <c r="R17" i="13" s="1"/>
  <c r="E621" i="13"/>
  <c r="E622" i="13" s="1"/>
  <c r="F42" i="13"/>
  <c r="G42" i="13" s="1"/>
  <c r="Q28" i="13"/>
  <c r="R28" i="13" s="1"/>
  <c r="Q26" i="13"/>
  <c r="R26" i="13" s="1"/>
  <c r="Q25" i="13"/>
  <c r="R25" i="13" s="1"/>
  <c r="Q24" i="13"/>
  <c r="R24" i="13" s="1"/>
  <c r="Q23" i="13"/>
  <c r="R23" i="13" s="1"/>
  <c r="Q22" i="13"/>
  <c r="R22" i="13" s="1"/>
  <c r="Q21" i="13"/>
  <c r="R21" i="13" s="1"/>
  <c r="Q20" i="13"/>
  <c r="R20" i="13" s="1"/>
  <c r="Q19" i="13"/>
  <c r="R19" i="13" s="1"/>
  <c r="Q4" i="13"/>
  <c r="R4" i="13" s="1"/>
  <c r="Q8" i="13"/>
  <c r="R8" i="13" s="1"/>
  <c r="Q12" i="13"/>
  <c r="R12" i="13" s="1"/>
  <c r="Q16" i="13"/>
  <c r="R16" i="13" s="1"/>
  <c r="F621" i="13"/>
  <c r="Q7" i="13"/>
  <c r="R7" i="13" s="1"/>
  <c r="Q11" i="13"/>
  <c r="R11" i="13" s="1"/>
  <c r="Q15" i="13"/>
  <c r="R15" i="13" s="1"/>
  <c r="Q14" i="13"/>
  <c r="R14" i="13" s="1"/>
  <c r="F13" i="12"/>
  <c r="E13" i="12"/>
  <c r="D13" i="12"/>
  <c r="D8" i="12"/>
  <c r="D11" i="12" s="1"/>
  <c r="D9" i="12"/>
  <c r="D12" i="12" s="1"/>
  <c r="D14" i="12" s="1"/>
  <c r="E8" i="12"/>
  <c r="E11" i="12" s="1"/>
  <c r="F8" i="12"/>
  <c r="F11" i="12" s="1"/>
  <c r="F9" i="12"/>
  <c r="F12" i="12" s="1"/>
  <c r="F14" i="12" s="1"/>
  <c r="C8" i="12"/>
  <c r="C11" i="12" s="1"/>
  <c r="X24" i="11"/>
  <c r="R13" i="11"/>
  <c r="R11" i="11"/>
  <c r="V11" i="11"/>
  <c r="X11" i="11" s="1"/>
  <c r="X15" i="11"/>
  <c r="X16" i="11" s="1"/>
  <c r="X19" i="11"/>
  <c r="L23" i="11"/>
  <c r="X13" i="11"/>
  <c r="X17" i="11" s="1"/>
  <c r="L11" i="11"/>
  <c r="L13" i="11" s="1"/>
  <c r="E9" i="12" l="1"/>
  <c r="E12" i="12" s="1"/>
  <c r="E14" i="12" s="1"/>
  <c r="C9" i="12"/>
  <c r="C12" i="12" s="1"/>
  <c r="C14" i="12" s="1"/>
  <c r="L17" i="11"/>
  <c r="L15" i="11"/>
  <c r="L16" i="11" s="1"/>
  <c r="L25" i="11" s="1"/>
  <c r="R17" i="11"/>
  <c r="R15" i="11"/>
  <c r="R16" i="11" s="1"/>
  <c r="R25" i="11" s="1"/>
  <c r="X25" i="11"/>
  <c r="X27" i="11" l="1"/>
  <c r="X30" i="11" s="1"/>
  <c r="X31" i="11" s="1"/>
  <c r="X33" i="11" s="1"/>
  <c r="X34" i="11" s="1"/>
  <c r="R30" i="11"/>
  <c r="R31" i="11" s="1"/>
  <c r="R33" i="11" s="1"/>
  <c r="R34" i="11" s="1"/>
  <c r="R27" i="11"/>
  <c r="L27" i="11"/>
  <c r="L30" i="11" s="1"/>
  <c r="L31" i="11" s="1"/>
  <c r="L33" i="11" s="1"/>
  <c r="L34" i="11" s="1"/>
  <c r="C58" i="10" l="1"/>
  <c r="C56" i="10"/>
  <c r="C55" i="10"/>
  <c r="E53" i="10"/>
  <c r="H52" i="10"/>
  <c r="E52" i="10"/>
  <c r="G51" i="10"/>
  <c r="G50" i="10"/>
  <c r="E50" i="10"/>
  <c r="E49" i="10"/>
  <c r="D48" i="10"/>
  <c r="E47" i="10"/>
  <c r="D47" i="10"/>
  <c r="G46" i="10"/>
  <c r="E46" i="10"/>
  <c r="D46" i="10"/>
  <c r="E45" i="10"/>
  <c r="G44" i="10"/>
  <c r="E43" i="10"/>
  <c r="C43" i="10"/>
  <c r="E42" i="10"/>
  <c r="D42" i="10"/>
  <c r="C42" i="10"/>
  <c r="H40" i="10"/>
  <c r="H39" i="10"/>
  <c r="G39" i="10"/>
  <c r="F39" i="10"/>
  <c r="H38" i="10"/>
  <c r="AL23" i="10" s="1"/>
  <c r="H45" i="10" s="1"/>
  <c r="AN23" i="10" s="1"/>
  <c r="D38" i="10"/>
  <c r="C38" i="10"/>
  <c r="H37" i="10"/>
  <c r="E37" i="10"/>
  <c r="W19" i="10" s="1"/>
  <c r="E44" i="10" s="1"/>
  <c r="Y19" i="10" s="1"/>
  <c r="D37" i="10"/>
  <c r="C37" i="10"/>
  <c r="Y33" i="10"/>
  <c r="Y32" i="10"/>
  <c r="Y31" i="10"/>
  <c r="V28" i="10"/>
  <c r="AA19" i="10" s="1"/>
  <c r="AF21" i="10" s="1"/>
  <c r="AK27" i="10" s="1"/>
  <c r="W26" i="10"/>
  <c r="AL25" i="10"/>
  <c r="R25" i="10"/>
  <c r="W28" i="10" s="1"/>
  <c r="AB19" i="10" s="1"/>
  <c r="AG21" i="10" s="1"/>
  <c r="AL27" i="10" s="1"/>
  <c r="Q25" i="10"/>
  <c r="Y24" i="10"/>
  <c r="M24" i="10"/>
  <c r="Y23" i="10"/>
  <c r="R23" i="10"/>
  <c r="AL22" i="10"/>
  <c r="H43" i="10" s="1"/>
  <c r="AN22" i="10" s="1"/>
  <c r="Y22" i="10"/>
  <c r="M22" i="10"/>
  <c r="AL21" i="10"/>
  <c r="H47" i="10" s="1"/>
  <c r="AN21" i="10" s="1"/>
  <c r="Y21" i="10"/>
  <c r="R21" i="10"/>
  <c r="D45" i="10" s="1"/>
  <c r="T21" i="10" s="1"/>
  <c r="AN20" i="10"/>
  <c r="Y20" i="10"/>
  <c r="R20" i="10"/>
  <c r="D44" i="10" s="1"/>
  <c r="T20" i="10" s="1"/>
  <c r="M20" i="10"/>
  <c r="C45" i="10" s="1"/>
  <c r="O20" i="10" s="1"/>
  <c r="AL19" i="10"/>
  <c r="AG19" i="10"/>
  <c r="T19" i="10"/>
  <c r="M19" i="10"/>
  <c r="C44" i="10" s="1"/>
  <c r="O19" i="10" s="1"/>
  <c r="AL18" i="10"/>
  <c r="AK18" i="10"/>
  <c r="Y18" i="10"/>
  <c r="T18" i="10"/>
  <c r="O18" i="10"/>
  <c r="I18" i="10"/>
  <c r="AI17" i="10"/>
  <c r="AB17" i="10"/>
  <c r="Y17" i="10"/>
  <c r="T17" i="10"/>
  <c r="O17" i="10"/>
  <c r="I17" i="10"/>
  <c r="AM16" i="10"/>
  <c r="AI16" i="10"/>
  <c r="Y16" i="10"/>
  <c r="T16" i="10"/>
  <c r="M16" i="10"/>
  <c r="L16" i="10"/>
  <c r="I16" i="10"/>
  <c r="AI15" i="10"/>
  <c r="AB15" i="10"/>
  <c r="Y15" i="10"/>
  <c r="R15" i="10"/>
  <c r="Q15" i="10"/>
  <c r="I15" i="10"/>
  <c r="AI14" i="10"/>
  <c r="AB14" i="10"/>
  <c r="F42" i="10" s="1"/>
  <c r="AD14" i="10" s="1"/>
  <c r="W14" i="10"/>
  <c r="V14" i="10"/>
  <c r="N14" i="10"/>
  <c r="AG13" i="10"/>
  <c r="G42" i="10" s="1"/>
  <c r="AI13" i="10" s="1"/>
  <c r="AB13" i="10"/>
  <c r="AA13" i="10"/>
  <c r="S13" i="10"/>
  <c r="I13" i="10"/>
  <c r="AG12" i="10"/>
  <c r="AF12" i="10"/>
  <c r="X12" i="10"/>
  <c r="H12" i="10"/>
  <c r="AL6" i="10" s="1"/>
  <c r="AN6" i="10" s="1"/>
  <c r="G12" i="10"/>
  <c r="E12" i="10"/>
  <c r="W6" i="10" s="1"/>
  <c r="Y6" i="10" s="1"/>
  <c r="AC11" i="10"/>
  <c r="I11" i="10"/>
  <c r="R9" i="10" s="1"/>
  <c r="T9" i="10" s="1"/>
  <c r="AN10" i="10"/>
  <c r="AM10" i="10"/>
  <c r="AL10" i="10"/>
  <c r="AK10" i="10"/>
  <c r="AH10" i="10"/>
  <c r="Q10" i="10"/>
  <c r="AM9" i="10"/>
  <c r="AN9" i="10" s="1"/>
  <c r="AL9" i="10"/>
  <c r="X9" i="10"/>
  <c r="V9" i="10"/>
  <c r="Q9" i="10"/>
  <c r="M9" i="10"/>
  <c r="O9" i="10" s="1"/>
  <c r="AM8" i="10"/>
  <c r="AN8" i="10" s="1"/>
  <c r="AL8" i="10"/>
  <c r="AC8" i="10"/>
  <c r="AA8" i="10"/>
  <c r="Y8" i="10"/>
  <c r="X8" i="10"/>
  <c r="W8" i="10"/>
  <c r="V8" i="10"/>
  <c r="Q8" i="10"/>
  <c r="AM7" i="10"/>
  <c r="AH7" i="10"/>
  <c r="AI7" i="10" s="1"/>
  <c r="AG7" i="10"/>
  <c r="AD7" i="10"/>
  <c r="AC7" i="10"/>
  <c r="AB7" i="10"/>
  <c r="AA7" i="10"/>
  <c r="Y7" i="10"/>
  <c r="X7" i="10"/>
  <c r="W7" i="10"/>
  <c r="V7" i="10"/>
  <c r="Q7" i="10"/>
  <c r="I7" i="10"/>
  <c r="I8" i="10" s="1"/>
  <c r="AM6" i="10"/>
  <c r="AH6" i="10"/>
  <c r="AC6" i="10"/>
  <c r="AD6" i="10" s="1"/>
  <c r="AB6" i="10"/>
  <c r="AA6" i="10"/>
  <c r="X6" i="10"/>
  <c r="V6" i="10"/>
  <c r="R6" i="10"/>
  <c r="T6" i="10" s="1"/>
  <c r="Q6" i="10"/>
  <c r="N6" i="10"/>
  <c r="AM5" i="10"/>
  <c r="AM14" i="10" s="1"/>
  <c r="H42" i="10" s="1"/>
  <c r="AN19" i="10" s="1"/>
  <c r="AL5" i="10"/>
  <c r="AN5" i="10" s="1"/>
  <c r="AH5" i="10"/>
  <c r="AH8" i="10" s="1"/>
  <c r="AG5" i="10"/>
  <c r="AF5" i="10"/>
  <c r="AC5" i="10"/>
  <c r="AC9" i="10" s="1"/>
  <c r="AA5" i="10"/>
  <c r="X5" i="10"/>
  <c r="X10" i="10" s="1"/>
  <c r="V5" i="10"/>
  <c r="S5" i="10"/>
  <c r="S11" i="10" s="1"/>
  <c r="Q5" i="10"/>
  <c r="N5" i="10"/>
  <c r="N12" i="10" s="1"/>
  <c r="I5" i="10"/>
  <c r="M7" i="10" s="1"/>
  <c r="H4" i="10"/>
  <c r="AL7" i="10" s="1"/>
  <c r="AN7" i="10" s="1"/>
  <c r="D4" i="10"/>
  <c r="C4" i="10"/>
  <c r="M6" i="10" s="1"/>
  <c r="O6" i="10" s="1"/>
  <c r="H3" i="10"/>
  <c r="F3" i="10"/>
  <c r="AB5" i="10" s="1"/>
  <c r="AD5" i="10" s="1"/>
  <c r="E3" i="10"/>
  <c r="W5" i="10" s="1"/>
  <c r="Y5" i="10" s="1"/>
  <c r="D3" i="10"/>
  <c r="R5" i="10" s="1"/>
  <c r="T5" i="10" s="1"/>
  <c r="C3" i="10"/>
  <c r="M5" i="10" s="1"/>
  <c r="O5" i="10" s="1"/>
  <c r="D28" i="9"/>
  <c r="E27" i="9"/>
  <c r="D27" i="9"/>
  <c r="I19" i="9" s="1"/>
  <c r="D22" i="9"/>
  <c r="D21" i="9"/>
  <c r="D20" i="9"/>
  <c r="G19" i="9"/>
  <c r="E19" i="9"/>
  <c r="D19" i="9"/>
  <c r="I17" i="9"/>
  <c r="J16" i="9"/>
  <c r="G16" i="9"/>
  <c r="J15" i="9"/>
  <c r="I15" i="9"/>
  <c r="G15" i="9"/>
  <c r="I14" i="9"/>
  <c r="J14" i="9" s="1"/>
  <c r="I13" i="9"/>
  <c r="G13" i="9"/>
  <c r="I11" i="9"/>
  <c r="I9" i="9"/>
  <c r="I8" i="9"/>
  <c r="C8" i="9"/>
  <c r="H9" i="9" s="1"/>
  <c r="J9" i="9" s="1"/>
  <c r="I7" i="9"/>
  <c r="E7" i="9"/>
  <c r="C7" i="9"/>
  <c r="H8" i="9" s="1"/>
  <c r="J8" i="9" s="1"/>
  <c r="I6" i="9"/>
  <c r="J6" i="9" s="1"/>
  <c r="H6" i="9"/>
  <c r="C6" i="9"/>
  <c r="H7" i="9" s="1"/>
  <c r="J7" i="9" s="1"/>
  <c r="I5" i="9"/>
  <c r="I10" i="9" s="1"/>
  <c r="E5" i="9"/>
  <c r="C5" i="9"/>
  <c r="E4" i="9"/>
  <c r="C4" i="9"/>
  <c r="H5" i="9" s="1"/>
  <c r="J3" i="9"/>
  <c r="J17" i="9" s="1"/>
  <c r="H35" i="8"/>
  <c r="D31" i="8"/>
  <c r="I16" i="8" s="1"/>
  <c r="E30" i="8"/>
  <c r="G20" i="8" s="1"/>
  <c r="D30" i="8"/>
  <c r="I34" i="8" s="1"/>
  <c r="I26" i="8"/>
  <c r="D24" i="8"/>
  <c r="I17" i="8" s="1"/>
  <c r="E23" i="8"/>
  <c r="D23" i="8"/>
  <c r="I14" i="8" s="1"/>
  <c r="I18" i="8"/>
  <c r="C18" i="8"/>
  <c r="I9" i="8" s="1"/>
  <c r="C17" i="8"/>
  <c r="I8" i="8" s="1"/>
  <c r="G16" i="8"/>
  <c r="C15" i="8"/>
  <c r="C14" i="8"/>
  <c r="I12" i="8"/>
  <c r="I11" i="8"/>
  <c r="E11" i="8"/>
  <c r="C11" i="8"/>
  <c r="H12" i="8" s="1"/>
  <c r="I10" i="8"/>
  <c r="C10" i="8"/>
  <c r="H11" i="8" s="1"/>
  <c r="C9" i="8"/>
  <c r="H10" i="8" s="1"/>
  <c r="J10" i="8" s="1"/>
  <c r="C8" i="8"/>
  <c r="H9" i="8" s="1"/>
  <c r="I7" i="8"/>
  <c r="E7" i="8"/>
  <c r="C7" i="8"/>
  <c r="H8" i="8" s="1"/>
  <c r="I6" i="8"/>
  <c r="J6" i="8" s="1"/>
  <c r="H6" i="8"/>
  <c r="E6" i="8"/>
  <c r="C6" i="8"/>
  <c r="H7" i="8" s="1"/>
  <c r="I5" i="8"/>
  <c r="E5" i="8"/>
  <c r="E4" i="8"/>
  <c r="C4" i="8"/>
  <c r="H5" i="8" s="1"/>
  <c r="J3" i="8"/>
  <c r="J18" i="8" s="1"/>
  <c r="E29" i="7"/>
  <c r="F28" i="7"/>
  <c r="H18" i="7" s="1"/>
  <c r="M19" i="7" s="1"/>
  <c r="E28" i="7"/>
  <c r="T31" i="7" s="1"/>
  <c r="O25" i="7"/>
  <c r="J25" i="7"/>
  <c r="T24" i="7"/>
  <c r="T23" i="7"/>
  <c r="E22" i="7"/>
  <c r="E21" i="7"/>
  <c r="O16" i="7" s="1"/>
  <c r="D21" i="7"/>
  <c r="J15" i="7" s="1"/>
  <c r="O15" i="7" s="1"/>
  <c r="C21" i="7"/>
  <c r="T15" i="7" s="1"/>
  <c r="F20" i="7"/>
  <c r="E20" i="7"/>
  <c r="T12" i="7" s="1"/>
  <c r="J18" i="7"/>
  <c r="O19" i="7" s="1"/>
  <c r="C18" i="7"/>
  <c r="N27" i="7" s="1"/>
  <c r="T17" i="7"/>
  <c r="E17" i="7"/>
  <c r="T10" i="7" s="1"/>
  <c r="J16" i="7"/>
  <c r="J14" i="7"/>
  <c r="O14" i="7" s="1"/>
  <c r="H14" i="7"/>
  <c r="M14" i="7" s="1"/>
  <c r="R14" i="7" s="1"/>
  <c r="O10" i="7"/>
  <c r="J10" i="7"/>
  <c r="T9" i="7"/>
  <c r="O9" i="7"/>
  <c r="M9" i="7"/>
  <c r="R9" i="7" s="1"/>
  <c r="J9" i="7"/>
  <c r="H9" i="7"/>
  <c r="F9" i="7"/>
  <c r="C9" i="7"/>
  <c r="I10" i="7" s="1"/>
  <c r="T8" i="7"/>
  <c r="O8" i="7"/>
  <c r="J8" i="7"/>
  <c r="C8" i="7"/>
  <c r="I8" i="7" s="1"/>
  <c r="T7" i="7"/>
  <c r="O7" i="7"/>
  <c r="J7" i="7"/>
  <c r="F7" i="7"/>
  <c r="C7" i="7"/>
  <c r="I7" i="7" s="1"/>
  <c r="N7" i="7" s="1"/>
  <c r="T6" i="7"/>
  <c r="O6" i="7"/>
  <c r="J6" i="7"/>
  <c r="F6" i="7"/>
  <c r="C6" i="7"/>
  <c r="I6" i="7" s="1"/>
  <c r="N6" i="7" s="1"/>
  <c r="T5" i="7"/>
  <c r="O5" i="7"/>
  <c r="J5" i="7"/>
  <c r="F5" i="7"/>
  <c r="C5" i="7"/>
  <c r="I5" i="7" s="1"/>
  <c r="N5" i="7" s="1"/>
  <c r="C4" i="7"/>
  <c r="I9" i="7" s="1"/>
  <c r="U3" i="7"/>
  <c r="P3" i="7"/>
  <c r="K3" i="7"/>
  <c r="I31" i="6"/>
  <c r="E27" i="6"/>
  <c r="E26" i="6"/>
  <c r="J29" i="6" s="1"/>
  <c r="O24" i="6"/>
  <c r="J24" i="6"/>
  <c r="E20" i="6"/>
  <c r="J14" i="6" s="1"/>
  <c r="O15" i="6" s="1"/>
  <c r="E19" i="6"/>
  <c r="O12" i="6" s="1"/>
  <c r="H17" i="6"/>
  <c r="M18" i="6" s="1"/>
  <c r="J15" i="6"/>
  <c r="O16" i="6" s="1"/>
  <c r="J13" i="6"/>
  <c r="O14" i="6" s="1"/>
  <c r="H13" i="6"/>
  <c r="M14" i="6" s="1"/>
  <c r="C13" i="6"/>
  <c r="J6" i="6" s="1"/>
  <c r="E12" i="6"/>
  <c r="O5" i="6" s="1"/>
  <c r="C12" i="6"/>
  <c r="J5" i="6" s="1"/>
  <c r="J11" i="6"/>
  <c r="O10" i="6"/>
  <c r="J9" i="6"/>
  <c r="O8" i="6"/>
  <c r="J8" i="6"/>
  <c r="C8" i="6"/>
  <c r="I9" i="6" s="1"/>
  <c r="O7" i="6"/>
  <c r="J7" i="6"/>
  <c r="F7" i="6"/>
  <c r="C7" i="6"/>
  <c r="I8" i="6" s="1"/>
  <c r="N8" i="6" s="1"/>
  <c r="P8" i="6" s="1"/>
  <c r="O6" i="6"/>
  <c r="F6" i="6"/>
  <c r="C6" i="6"/>
  <c r="I7" i="6" s="1"/>
  <c r="N7" i="6" s="1"/>
  <c r="F5" i="6"/>
  <c r="C5" i="6"/>
  <c r="I6" i="6" s="1"/>
  <c r="N6" i="6" s="1"/>
  <c r="F4" i="6"/>
  <c r="C4" i="6"/>
  <c r="I5" i="6" s="1"/>
  <c r="P3" i="6"/>
  <c r="K3" i="6"/>
  <c r="J34" i="5"/>
  <c r="E27" i="5"/>
  <c r="K14" i="5" s="1"/>
  <c r="E26" i="5"/>
  <c r="K32" i="5" s="1"/>
  <c r="K23" i="5"/>
  <c r="E20" i="5"/>
  <c r="K15" i="5" s="1"/>
  <c r="E19" i="5"/>
  <c r="K12" i="5" s="1"/>
  <c r="K18" i="5"/>
  <c r="I18" i="5"/>
  <c r="K16" i="5"/>
  <c r="C16" i="5"/>
  <c r="K9" i="5" s="1"/>
  <c r="I14" i="5"/>
  <c r="C14" i="5"/>
  <c r="K7" i="5" s="1"/>
  <c r="C13" i="5"/>
  <c r="C12" i="5"/>
  <c r="K5" i="5" s="1"/>
  <c r="K10" i="5"/>
  <c r="C9" i="5"/>
  <c r="J10" i="5" s="1"/>
  <c r="K8" i="5"/>
  <c r="C8" i="5"/>
  <c r="J9" i="5" s="1"/>
  <c r="F7" i="5"/>
  <c r="C7" i="5"/>
  <c r="J8" i="5" s="1"/>
  <c r="K6" i="5"/>
  <c r="J6" i="5"/>
  <c r="F6" i="5"/>
  <c r="C6" i="5"/>
  <c r="J7" i="5" s="1"/>
  <c r="F5" i="5"/>
  <c r="F4" i="5"/>
  <c r="C4" i="5"/>
  <c r="J5" i="5" s="1"/>
  <c r="L3" i="5"/>
  <c r="O48" i="4"/>
  <c r="O42" i="4"/>
  <c r="O43" i="4" s="1"/>
  <c r="K38" i="4"/>
  <c r="J38" i="4"/>
  <c r="J41" i="4" s="1"/>
  <c r="M34" i="4"/>
  <c r="K32" i="4"/>
  <c r="J32" i="4"/>
  <c r="O26" i="4"/>
  <c r="K26" i="4"/>
  <c r="N37" i="4" s="1"/>
  <c r="D26" i="4"/>
  <c r="J15" i="4" s="1"/>
  <c r="D25" i="4"/>
  <c r="O55" i="4" s="1"/>
  <c r="M21" i="4"/>
  <c r="O20" i="4"/>
  <c r="M20" i="4"/>
  <c r="J19" i="4"/>
  <c r="M18" i="4"/>
  <c r="D18" i="4"/>
  <c r="O17" i="4" s="1"/>
  <c r="P17" i="4" s="1"/>
  <c r="J17" i="4"/>
  <c r="K17" i="4" s="1"/>
  <c r="D17" i="4"/>
  <c r="P16" i="4"/>
  <c r="M16" i="4"/>
  <c r="O15" i="4"/>
  <c r="H15" i="4"/>
  <c r="M15" i="4" s="1"/>
  <c r="C15" i="4"/>
  <c r="D15" i="4" s="1"/>
  <c r="O10" i="4" s="1"/>
  <c r="C14" i="4"/>
  <c r="D14" i="4" s="1"/>
  <c r="O9" i="4" s="1"/>
  <c r="O13" i="4"/>
  <c r="J13" i="4"/>
  <c r="D13" i="4"/>
  <c r="O8" i="4" s="1"/>
  <c r="C13" i="4"/>
  <c r="D12" i="4"/>
  <c r="C12" i="4"/>
  <c r="J7" i="4" s="1"/>
  <c r="D11" i="4"/>
  <c r="C11" i="4"/>
  <c r="J6" i="4" s="1"/>
  <c r="J10" i="4"/>
  <c r="H10" i="4"/>
  <c r="M10" i="4" s="1"/>
  <c r="J9" i="4"/>
  <c r="H9" i="4"/>
  <c r="M9" i="4" s="1"/>
  <c r="J8" i="4"/>
  <c r="H8" i="4"/>
  <c r="M8" i="4" s="1"/>
  <c r="C8" i="4"/>
  <c r="N10" i="4" s="1"/>
  <c r="O7" i="4"/>
  <c r="H7" i="4"/>
  <c r="M7" i="4" s="1"/>
  <c r="C7" i="4"/>
  <c r="N9" i="4" s="1"/>
  <c r="O6" i="4"/>
  <c r="H6" i="4"/>
  <c r="M6" i="4" s="1"/>
  <c r="C6" i="4"/>
  <c r="N8" i="4" s="1"/>
  <c r="C5" i="4"/>
  <c r="I7" i="4" s="1"/>
  <c r="C4" i="4"/>
  <c r="N71" i="3"/>
  <c r="L71" i="3"/>
  <c r="J71" i="3"/>
  <c r="F71" i="3"/>
  <c r="N70" i="3"/>
  <c r="J70" i="3"/>
  <c r="F70" i="3"/>
  <c r="K70" i="3" s="1"/>
  <c r="L70" i="3" s="1"/>
  <c r="N69" i="3"/>
  <c r="J69" i="3"/>
  <c r="F69" i="3"/>
  <c r="K69" i="3" s="1"/>
  <c r="L69" i="3" s="1"/>
  <c r="N68" i="3"/>
  <c r="J68" i="3"/>
  <c r="F68" i="3"/>
  <c r="K68" i="3" s="1"/>
  <c r="L68" i="3" s="1"/>
  <c r="N67" i="3"/>
  <c r="J67" i="3"/>
  <c r="K67" i="3" s="1"/>
  <c r="L67" i="3" s="1"/>
  <c r="F67" i="3"/>
  <c r="L63" i="3"/>
  <c r="K62" i="3"/>
  <c r="L62" i="3" s="1"/>
  <c r="J62" i="3"/>
  <c r="N60" i="3"/>
  <c r="M60" i="3"/>
  <c r="J59" i="3"/>
  <c r="H59" i="3"/>
  <c r="K59" i="3" s="1"/>
  <c r="J58" i="3"/>
  <c r="K58" i="3" s="1"/>
  <c r="L58" i="3" s="1"/>
  <c r="H58" i="3"/>
  <c r="J57" i="3"/>
  <c r="H57" i="3"/>
  <c r="K57" i="3" s="1"/>
  <c r="L57" i="3" s="1"/>
  <c r="J55" i="3"/>
  <c r="K55" i="3" s="1"/>
  <c r="L55" i="3" s="1"/>
  <c r="J53" i="3"/>
  <c r="H53" i="3"/>
  <c r="K53" i="3" s="1"/>
  <c r="L53" i="3" s="1"/>
  <c r="J52" i="3"/>
  <c r="H52" i="3"/>
  <c r="K52" i="3" s="1"/>
  <c r="L52" i="3" s="1"/>
  <c r="J50" i="3"/>
  <c r="H50" i="3"/>
  <c r="K50" i="3" s="1"/>
  <c r="L50" i="3" s="1"/>
  <c r="J49" i="3"/>
  <c r="H49" i="3"/>
  <c r="K49" i="3" s="1"/>
  <c r="L49" i="3" s="1"/>
  <c r="J47" i="3"/>
  <c r="H47" i="3"/>
  <c r="K47" i="3" s="1"/>
  <c r="L47" i="3" s="1"/>
  <c r="L46" i="3"/>
  <c r="J45" i="3"/>
  <c r="K45" i="3" s="1"/>
  <c r="L45" i="3" s="1"/>
  <c r="H45" i="3"/>
  <c r="L44" i="3"/>
  <c r="J43" i="3"/>
  <c r="H43" i="3"/>
  <c r="K43" i="3" s="1"/>
  <c r="L43" i="3" s="1"/>
  <c r="J41" i="3"/>
  <c r="H41" i="3"/>
  <c r="K41" i="3" s="1"/>
  <c r="L41" i="3" s="1"/>
  <c r="J39" i="3"/>
  <c r="H39" i="3"/>
  <c r="K39" i="3" s="1"/>
  <c r="L39" i="3" s="1"/>
  <c r="K38" i="3"/>
  <c r="L38" i="3" s="1"/>
  <c r="J38" i="3"/>
  <c r="H38" i="3"/>
  <c r="J37" i="3"/>
  <c r="H37" i="3"/>
  <c r="K37" i="3" s="1"/>
  <c r="L37" i="3" s="1"/>
  <c r="K36" i="3"/>
  <c r="L36" i="3" s="1"/>
  <c r="J36" i="3"/>
  <c r="H36" i="3"/>
  <c r="J33" i="3"/>
  <c r="H33" i="3"/>
  <c r="K33" i="3" s="1"/>
  <c r="L33" i="3" s="1"/>
  <c r="K32" i="3"/>
  <c r="L32" i="3" s="1"/>
  <c r="J32" i="3"/>
  <c r="H32" i="3"/>
  <c r="J31" i="3"/>
  <c r="H31" i="3"/>
  <c r="K31" i="3" s="1"/>
  <c r="L31" i="3" s="1"/>
  <c r="K30" i="3"/>
  <c r="L30" i="3" s="1"/>
  <c r="J30" i="3"/>
  <c r="H30" i="3"/>
  <c r="J28" i="3"/>
  <c r="H28" i="3"/>
  <c r="K28" i="3" s="1"/>
  <c r="L28" i="3" s="1"/>
  <c r="K27" i="3"/>
  <c r="L27" i="3" s="1"/>
  <c r="J27" i="3"/>
  <c r="H27" i="3"/>
  <c r="J26" i="3"/>
  <c r="H26" i="3"/>
  <c r="K26" i="3" s="1"/>
  <c r="L26" i="3" s="1"/>
  <c r="K24" i="3"/>
  <c r="L24" i="3" s="1"/>
  <c r="J24" i="3"/>
  <c r="H24" i="3"/>
  <c r="J23" i="3"/>
  <c r="H23" i="3"/>
  <c r="K23" i="3" s="1"/>
  <c r="L23" i="3" s="1"/>
  <c r="K22" i="3"/>
  <c r="L22" i="3" s="1"/>
  <c r="J22" i="3"/>
  <c r="H22" i="3"/>
  <c r="J20" i="3"/>
  <c r="H20" i="3"/>
  <c r="K20" i="3" s="1"/>
  <c r="L20" i="3" s="1"/>
  <c r="K19" i="3"/>
  <c r="L19" i="3" s="1"/>
  <c r="J19" i="3"/>
  <c r="H19" i="3"/>
  <c r="J18" i="3"/>
  <c r="H18" i="3"/>
  <c r="K18" i="3" s="1"/>
  <c r="L18" i="3" s="1"/>
  <c r="K16" i="3"/>
  <c r="L16" i="3" s="1"/>
  <c r="J16" i="3"/>
  <c r="H16" i="3"/>
  <c r="J15" i="3"/>
  <c r="H15" i="3"/>
  <c r="K15" i="3" s="1"/>
  <c r="L15" i="3" s="1"/>
  <c r="K14" i="3"/>
  <c r="L14" i="3" s="1"/>
  <c r="J14" i="3"/>
  <c r="H14" i="3"/>
  <c r="J12" i="3"/>
  <c r="H12" i="3"/>
  <c r="K12" i="3" s="1"/>
  <c r="L12" i="3" s="1"/>
  <c r="K11" i="3"/>
  <c r="L11" i="3" s="1"/>
  <c r="J11" i="3"/>
  <c r="H11" i="3"/>
  <c r="J9" i="3"/>
  <c r="H9" i="3"/>
  <c r="K9" i="3" s="1"/>
  <c r="L9" i="3" s="1"/>
  <c r="K7" i="3"/>
  <c r="L7" i="3" s="1"/>
  <c r="J7" i="3"/>
  <c r="H7" i="3"/>
  <c r="M5" i="3"/>
  <c r="M7" i="3" s="1"/>
  <c r="M9" i="3" s="1"/>
  <c r="M11" i="3" s="1"/>
  <c r="J5" i="3"/>
  <c r="H5" i="3"/>
  <c r="K5" i="3" s="1"/>
  <c r="L5" i="3" s="1"/>
  <c r="N5" i="3" s="1"/>
  <c r="M4" i="3"/>
  <c r="K4" i="3"/>
  <c r="L4" i="3" s="1"/>
  <c r="N4" i="3" s="1"/>
  <c r="J4" i="3"/>
  <c r="H4" i="3"/>
  <c r="X22" i="2"/>
  <c r="AD21" i="2"/>
  <c r="AF21" i="2" s="1"/>
  <c r="AA21" i="2"/>
  <c r="AC21" i="2" s="1"/>
  <c r="H21" i="2"/>
  <c r="J21" i="2" s="1"/>
  <c r="C21" i="2"/>
  <c r="E21" i="2" s="1"/>
  <c r="Y20" i="2"/>
  <c r="Z20" i="2" s="1"/>
  <c r="X20" i="2"/>
  <c r="AE19" i="2"/>
  <c r="AD19" i="2"/>
  <c r="AF19" i="2" s="1"/>
  <c r="AB19" i="2"/>
  <c r="AA19" i="2"/>
  <c r="AC19" i="2" s="1"/>
  <c r="H19" i="2"/>
  <c r="J19" i="2" s="1"/>
  <c r="D19" i="2"/>
  <c r="I19" i="2" s="1"/>
  <c r="C19" i="2"/>
  <c r="E19" i="2" s="1"/>
  <c r="AF18" i="2"/>
  <c r="AE18" i="2"/>
  <c r="AD18" i="2"/>
  <c r="AB18" i="2"/>
  <c r="AC18" i="2" s="1"/>
  <c r="AA18" i="2"/>
  <c r="H18" i="2"/>
  <c r="J18" i="2" s="1"/>
  <c r="D18" i="2"/>
  <c r="I18" i="2" s="1"/>
  <c r="C18" i="2"/>
  <c r="E18" i="2" s="1"/>
  <c r="AF17" i="2"/>
  <c r="AE17" i="2"/>
  <c r="AD17" i="2"/>
  <c r="AB17" i="2"/>
  <c r="AC17" i="2" s="1"/>
  <c r="AA17" i="2"/>
  <c r="H17" i="2"/>
  <c r="J17" i="2" s="1"/>
  <c r="D17" i="2"/>
  <c r="I17" i="2" s="1"/>
  <c r="C17" i="2"/>
  <c r="E17" i="2" s="1"/>
  <c r="AF16" i="2"/>
  <c r="AE16" i="2"/>
  <c r="AD16" i="2"/>
  <c r="AB16" i="2"/>
  <c r="AC16" i="2" s="1"/>
  <c r="AA16" i="2"/>
  <c r="J16" i="2"/>
  <c r="H16" i="2"/>
  <c r="D16" i="2"/>
  <c r="I16" i="2" s="1"/>
  <c r="C16" i="2"/>
  <c r="AE15" i="2"/>
  <c r="AD15" i="2"/>
  <c r="AF15" i="2" s="1"/>
  <c r="AB15" i="2"/>
  <c r="AA15" i="2"/>
  <c r="AC15" i="2" s="1"/>
  <c r="J15" i="2"/>
  <c r="H15" i="2"/>
  <c r="D15" i="2"/>
  <c r="I15" i="2" s="1"/>
  <c r="C15" i="2"/>
  <c r="AE14" i="2"/>
  <c r="AD14" i="2"/>
  <c r="AF14" i="2" s="1"/>
  <c r="AB14" i="2"/>
  <c r="AA14" i="2"/>
  <c r="AC14" i="2" s="1"/>
  <c r="J14" i="2"/>
  <c r="H14" i="2"/>
  <c r="D14" i="2"/>
  <c r="I14" i="2" s="1"/>
  <c r="C14" i="2"/>
  <c r="AE13" i="2"/>
  <c r="AD13" i="2"/>
  <c r="AF13" i="2" s="1"/>
  <c r="AB13" i="2"/>
  <c r="AA13" i="2"/>
  <c r="AC13" i="2" s="1"/>
  <c r="J13" i="2"/>
  <c r="H13" i="2"/>
  <c r="D13" i="2"/>
  <c r="I13" i="2" s="1"/>
  <c r="C13" i="2"/>
  <c r="AE11" i="2"/>
  <c r="AD11" i="2"/>
  <c r="AF11" i="2" s="1"/>
  <c r="AB11" i="2"/>
  <c r="AA11" i="2"/>
  <c r="AC11" i="2" s="1"/>
  <c r="H11" i="2"/>
  <c r="J11" i="2" s="1"/>
  <c r="D11" i="2"/>
  <c r="I11" i="2" s="1"/>
  <c r="C11" i="2"/>
  <c r="E11" i="2" s="1"/>
  <c r="AF10" i="2"/>
  <c r="AE10" i="2"/>
  <c r="AD10" i="2"/>
  <c r="AB10" i="2"/>
  <c r="AC10" i="2" s="1"/>
  <c r="AA10" i="2"/>
  <c r="H10" i="2"/>
  <c r="J10" i="2" s="1"/>
  <c r="D10" i="2"/>
  <c r="I10" i="2" s="1"/>
  <c r="C10" i="2"/>
  <c r="E10" i="2" s="1"/>
  <c r="AF9" i="2"/>
  <c r="AE9" i="2"/>
  <c r="AD9" i="2"/>
  <c r="AB9" i="2"/>
  <c r="AC9" i="2" s="1"/>
  <c r="V9" i="2"/>
  <c r="W9" i="2" s="1"/>
  <c r="H9" i="2"/>
  <c r="J9" i="2" s="1"/>
  <c r="D9" i="2"/>
  <c r="I9" i="2" s="1"/>
  <c r="C9" i="2"/>
  <c r="E9" i="2" s="1"/>
  <c r="AF8" i="2"/>
  <c r="AE8" i="2"/>
  <c r="AD8" i="2"/>
  <c r="AB8" i="2"/>
  <c r="AC8" i="2" s="1"/>
  <c r="AA8" i="2"/>
  <c r="J8" i="2"/>
  <c r="H8" i="2"/>
  <c r="D8" i="2"/>
  <c r="I8" i="2" s="1"/>
  <c r="C8" i="2"/>
  <c r="AE7" i="2"/>
  <c r="AD7" i="2"/>
  <c r="AF7" i="2" s="1"/>
  <c r="AB7" i="2"/>
  <c r="AA7" i="2"/>
  <c r="AC7" i="2" s="1"/>
  <c r="J7" i="2"/>
  <c r="H7" i="2"/>
  <c r="D7" i="2"/>
  <c r="I7" i="2" s="1"/>
  <c r="C7" i="2"/>
  <c r="AE6" i="2"/>
  <c r="AD6" i="2"/>
  <c r="AF6" i="2" s="1"/>
  <c r="AA6" i="2"/>
  <c r="AC6" i="2" s="1"/>
  <c r="I6" i="2"/>
  <c r="D6" i="2"/>
  <c r="C6" i="2"/>
  <c r="H6" i="2" s="1"/>
  <c r="J6" i="2" s="1"/>
  <c r="AF5" i="2"/>
  <c r="V5" i="2"/>
  <c r="R5" i="2"/>
  <c r="S5" i="2" s="1"/>
  <c r="Q5" i="2"/>
  <c r="I5" i="2"/>
  <c r="E5" i="2"/>
  <c r="J5" i="2" s="1"/>
  <c r="D5" i="2"/>
  <c r="Q2" i="2"/>
  <c r="R19" i="2" s="1"/>
  <c r="C22" i="1"/>
  <c r="G21" i="1"/>
  <c r="I21" i="1" s="1"/>
  <c r="C20" i="1"/>
  <c r="G19" i="1"/>
  <c r="I19" i="1" s="1"/>
  <c r="C18" i="1"/>
  <c r="G17" i="1"/>
  <c r="I17" i="1" s="1"/>
  <c r="C16" i="1"/>
  <c r="G15" i="1"/>
  <c r="I15" i="1" s="1"/>
  <c r="C14" i="1"/>
  <c r="I13" i="1"/>
  <c r="G13" i="1"/>
  <c r="C12" i="1"/>
  <c r="G11" i="1"/>
  <c r="I11" i="1" s="1"/>
  <c r="C10" i="1"/>
  <c r="C8" i="1"/>
  <c r="G7" i="1"/>
  <c r="I7" i="1" s="1"/>
  <c r="C6" i="1"/>
  <c r="G5" i="1"/>
  <c r="I5" i="1" s="1"/>
  <c r="C4" i="1"/>
  <c r="G3" i="1"/>
  <c r="I3" i="1" s="1"/>
  <c r="J12" i="8" l="1"/>
  <c r="J8" i="8"/>
  <c r="I20" i="8"/>
  <c r="J17" i="8"/>
  <c r="J11" i="8"/>
  <c r="I27" i="8"/>
  <c r="I28" i="8" s="1"/>
  <c r="I33" i="8"/>
  <c r="J7" i="8"/>
  <c r="J11" i="7"/>
  <c r="O26" i="7"/>
  <c r="J31" i="7"/>
  <c r="O12" i="7"/>
  <c r="U15" i="7"/>
  <c r="T25" i="7"/>
  <c r="J26" i="7"/>
  <c r="J27" i="7" s="1"/>
  <c r="O11" i="7"/>
  <c r="J32" i="7"/>
  <c r="J33" i="7" s="1"/>
  <c r="K33" i="7" s="1"/>
  <c r="N9" i="7"/>
  <c r="S9" i="7" s="1"/>
  <c r="U9" i="7" s="1"/>
  <c r="K9" i="7"/>
  <c r="J12" i="7"/>
  <c r="O31" i="7"/>
  <c r="K16" i="7"/>
  <c r="K6" i="7"/>
  <c r="K8" i="7"/>
  <c r="K15" i="7"/>
  <c r="O27" i="7"/>
  <c r="T32" i="7"/>
  <c r="T33" i="7" s="1"/>
  <c r="U33" i="7" s="1"/>
  <c r="T11" i="7"/>
  <c r="P15" i="7"/>
  <c r="P16" i="7"/>
  <c r="K5" i="6"/>
  <c r="J10" i="6"/>
  <c r="P15" i="6"/>
  <c r="O11" i="6"/>
  <c r="P7" i="6"/>
  <c r="J17" i="6"/>
  <c r="O18" i="6" s="1"/>
  <c r="K14" i="6"/>
  <c r="P6" i="6"/>
  <c r="P16" i="6"/>
  <c r="L6" i="5"/>
  <c r="L7" i="5"/>
  <c r="L9" i="5"/>
  <c r="L8" i="5"/>
  <c r="L16" i="5"/>
  <c r="L15" i="5"/>
  <c r="K33" i="5"/>
  <c r="K34" i="5" s="1"/>
  <c r="L34" i="5" s="1"/>
  <c r="N7" i="4"/>
  <c r="P7" i="4" s="1"/>
  <c r="J16" i="4"/>
  <c r="K16" i="4" s="1"/>
  <c r="O18" i="4"/>
  <c r="P18" i="4" s="1"/>
  <c r="P10" i="4"/>
  <c r="O27" i="4"/>
  <c r="O28" i="4" s="1"/>
  <c r="O34" i="4"/>
  <c r="K40" i="4"/>
  <c r="O54" i="4"/>
  <c r="K7" i="4"/>
  <c r="N6" i="4"/>
  <c r="P6" i="4" s="1"/>
  <c r="I6" i="4"/>
  <c r="R7" i="10"/>
  <c r="T7" i="10" s="1"/>
  <c r="O7" i="10"/>
  <c r="M10" i="10"/>
  <c r="O10" i="10" s="1"/>
  <c r="I14" i="10"/>
  <c r="AL12" i="10"/>
  <c r="AN12" i="10" s="1"/>
  <c r="I9" i="10"/>
  <c r="I6" i="10"/>
  <c r="AI5" i="10"/>
  <c r="AG6" i="10"/>
  <c r="AI6" i="10" s="1"/>
  <c r="J13" i="9"/>
  <c r="J5" i="9"/>
  <c r="J10" i="9" s="1"/>
  <c r="J9" i="8"/>
  <c r="I13" i="8" s="1"/>
  <c r="I35" i="8"/>
  <c r="J35" i="8" s="1"/>
  <c r="J5" i="8"/>
  <c r="P9" i="7"/>
  <c r="S6" i="7"/>
  <c r="U6" i="7" s="1"/>
  <c r="P6" i="7"/>
  <c r="K7" i="7"/>
  <c r="N10" i="7"/>
  <c r="K10" i="7"/>
  <c r="T14" i="7"/>
  <c r="S5" i="7"/>
  <c r="P5" i="7"/>
  <c r="S7" i="7"/>
  <c r="U7" i="7" s="1"/>
  <c r="P7" i="7"/>
  <c r="U5" i="7"/>
  <c r="S8" i="7"/>
  <c r="U8" i="7" s="1"/>
  <c r="O17" i="7"/>
  <c r="P17" i="7" s="1"/>
  <c r="I27" i="7"/>
  <c r="K31" i="7"/>
  <c r="O32" i="7"/>
  <c r="O33" i="7" s="1"/>
  <c r="P33" i="7" s="1"/>
  <c r="N8" i="7"/>
  <c r="P8" i="7" s="1"/>
  <c r="K5" i="7"/>
  <c r="R17" i="7"/>
  <c r="K8" i="6"/>
  <c r="K6" i="6"/>
  <c r="N9" i="6"/>
  <c r="P9" i="6" s="1"/>
  <c r="K9" i="6"/>
  <c r="N5" i="6"/>
  <c r="P5" i="6" s="1"/>
  <c r="K15" i="6"/>
  <c r="O29" i="6"/>
  <c r="K7" i="6"/>
  <c r="C9" i="6"/>
  <c r="N10" i="6" s="1"/>
  <c r="P10" i="6" s="1"/>
  <c r="J25" i="6"/>
  <c r="J26" i="6" s="1"/>
  <c r="J30" i="6"/>
  <c r="J31" i="6" s="1"/>
  <c r="K31" i="6" s="1"/>
  <c r="O25" i="6"/>
  <c r="O26" i="6" s="1"/>
  <c r="O30" i="6"/>
  <c r="L10" i="5"/>
  <c r="L5" i="5"/>
  <c r="K11" i="5" s="1"/>
  <c r="K24" i="5"/>
  <c r="K25" i="5" s="1"/>
  <c r="O56" i="4"/>
  <c r="P8" i="4"/>
  <c r="J11" i="4"/>
  <c r="O11" i="4"/>
  <c r="P9" i="4"/>
  <c r="I8" i="4"/>
  <c r="K8" i="4" s="1"/>
  <c r="I9" i="4"/>
  <c r="K9" i="4" s="1"/>
  <c r="I10" i="4"/>
  <c r="K10" i="4" s="1"/>
  <c r="K27" i="4"/>
  <c r="K28" i="4" s="1"/>
  <c r="K39" i="4"/>
  <c r="K41" i="4" s="1"/>
  <c r="K6" i="4"/>
  <c r="K33" i="4"/>
  <c r="K34" i="4" s="1"/>
  <c r="M37" i="4" s="1"/>
  <c r="O37" i="4" s="1"/>
  <c r="O38" i="4" s="1"/>
  <c r="O47" i="4"/>
  <c r="O49" i="4" s="1"/>
  <c r="N7" i="3"/>
  <c r="M14" i="3"/>
  <c r="M15" i="3" s="1"/>
  <c r="M16" i="3" s="1"/>
  <c r="M18" i="3" s="1"/>
  <c r="M19" i="3" s="1"/>
  <c r="M20" i="3" s="1"/>
  <c r="M22" i="3" s="1"/>
  <c r="M23" i="3" s="1"/>
  <c r="M24" i="3" s="1"/>
  <c r="M26" i="3" s="1"/>
  <c r="M27" i="3" s="1"/>
  <c r="M28" i="3" s="1"/>
  <c r="M30" i="3" s="1"/>
  <c r="M31" i="3" s="1"/>
  <c r="M32" i="3" s="1"/>
  <c r="M33" i="3" s="1"/>
  <c r="M36" i="3" s="1"/>
  <c r="M37" i="3" s="1"/>
  <c r="M38" i="3" s="1"/>
  <c r="M39" i="3" s="1"/>
  <c r="M41" i="3" s="1"/>
  <c r="M43" i="3" s="1"/>
  <c r="M44" i="3" s="1"/>
  <c r="M45" i="3" s="1"/>
  <c r="M46" i="3" s="1"/>
  <c r="M47" i="3" s="1"/>
  <c r="M49" i="3" s="1"/>
  <c r="M50" i="3" s="1"/>
  <c r="M52" i="3" s="1"/>
  <c r="M53" i="3" s="1"/>
  <c r="M55" i="3" s="1"/>
  <c r="M57" i="3" s="1"/>
  <c r="M58" i="3" s="1"/>
  <c r="M59" i="3" s="1"/>
  <c r="M62" i="3" s="1"/>
  <c r="M63" i="3" s="1"/>
  <c r="N63" i="3" s="1"/>
  <c r="M12" i="3"/>
  <c r="N11" i="3"/>
  <c r="N9" i="3"/>
  <c r="L59" i="3"/>
  <c r="K60" i="3"/>
  <c r="L60" i="3" s="1"/>
  <c r="N12" i="3"/>
  <c r="T1" i="2"/>
  <c r="E7" i="2"/>
  <c r="Q7" i="2"/>
  <c r="E8" i="2"/>
  <c r="Q8" i="2"/>
  <c r="E13" i="2"/>
  <c r="Q13" i="2"/>
  <c r="E14" i="2"/>
  <c r="Q14" i="2"/>
  <c r="E15" i="2"/>
  <c r="Q15" i="2"/>
  <c r="E16" i="2"/>
  <c r="Q16" i="2"/>
  <c r="E6" i="2"/>
  <c r="R13" i="2"/>
  <c r="R14" i="2"/>
  <c r="R15" i="2"/>
  <c r="R16" i="2"/>
  <c r="Q21" i="2"/>
  <c r="T21" i="2" s="1"/>
  <c r="V21" i="2" s="1"/>
  <c r="Q6" i="2"/>
  <c r="R7" i="2"/>
  <c r="R8" i="2"/>
  <c r="R6" i="2"/>
  <c r="Q9" i="2"/>
  <c r="Q10" i="2"/>
  <c r="Q11" i="2"/>
  <c r="Q17" i="2"/>
  <c r="Q18" i="2"/>
  <c r="Q19" i="2"/>
  <c r="S21" i="2"/>
  <c r="R9" i="2"/>
  <c r="R10" i="2"/>
  <c r="R11" i="2"/>
  <c r="R17" i="2"/>
  <c r="R18" i="2"/>
  <c r="K11" i="7" l="1"/>
  <c r="K12" i="7" s="1"/>
  <c r="P11" i="6"/>
  <c r="P12" i="6" s="1"/>
  <c r="P13" i="6" s="1"/>
  <c r="K10" i="6"/>
  <c r="K11" i="6" s="1"/>
  <c r="K12" i="6" s="1"/>
  <c r="P11" i="4"/>
  <c r="P13" i="4" s="1"/>
  <c r="P14" i="4" s="1"/>
  <c r="AL11" i="10"/>
  <c r="AN11" i="10" s="1"/>
  <c r="M8" i="10"/>
  <c r="O8" i="10" s="1"/>
  <c r="AI8" i="10"/>
  <c r="W9" i="10"/>
  <c r="Y9" i="10" s="1"/>
  <c r="Y10" i="10" s="1"/>
  <c r="AB8" i="10"/>
  <c r="AD8" i="10" s="1"/>
  <c r="AD9" i="10" s="1"/>
  <c r="AL13" i="10"/>
  <c r="AN13" i="10" s="1"/>
  <c r="M11" i="10"/>
  <c r="I10" i="10"/>
  <c r="R8" i="10" s="1"/>
  <c r="T8" i="10" s="1"/>
  <c r="J12" i="9"/>
  <c r="J18" i="9" s="1"/>
  <c r="J19" i="9" s="1"/>
  <c r="J20" i="9" s="1"/>
  <c r="J11" i="9"/>
  <c r="J13" i="8"/>
  <c r="K14" i="7"/>
  <c r="P10" i="7"/>
  <c r="P11" i="7" s="1"/>
  <c r="S10" i="7"/>
  <c r="U10" i="7" s="1"/>
  <c r="U11" i="7" s="1"/>
  <c r="O31" i="6"/>
  <c r="P31" i="6" s="1"/>
  <c r="L11" i="5"/>
  <c r="K11" i="4"/>
  <c r="P15" i="4"/>
  <c r="N42" i="3"/>
  <c r="N23" i="3"/>
  <c r="N59" i="3"/>
  <c r="N22" i="3"/>
  <c r="N55" i="3"/>
  <c r="N43" i="3"/>
  <c r="N19" i="3"/>
  <c r="N38" i="3"/>
  <c r="N15" i="3"/>
  <c r="N50" i="3"/>
  <c r="N36" i="3"/>
  <c r="N14" i="3"/>
  <c r="N57" i="3"/>
  <c r="N20" i="3"/>
  <c r="N52" i="3"/>
  <c r="N39" i="3"/>
  <c r="N18" i="3"/>
  <c r="N37" i="3"/>
  <c r="N16" i="3"/>
  <c r="N47" i="3"/>
  <c r="N33" i="3"/>
  <c r="N46" i="3"/>
  <c r="N49" i="3"/>
  <c r="N30" i="3"/>
  <c r="N27" i="3"/>
  <c r="N62" i="3"/>
  <c r="N44" i="3"/>
  <c r="N24" i="3"/>
  <c r="N32" i="3"/>
  <c r="N31" i="3"/>
  <c r="N58" i="3"/>
  <c r="N45" i="3"/>
  <c r="N28" i="3"/>
  <c r="N26" i="3"/>
  <c r="N53" i="3"/>
  <c r="T19" i="2"/>
  <c r="V19" i="2" s="1"/>
  <c r="W19" i="2" s="1"/>
  <c r="S19" i="2"/>
  <c r="T10" i="2"/>
  <c r="V10" i="2" s="1"/>
  <c r="W10" i="2" s="1"/>
  <c r="Y10" i="2" s="1"/>
  <c r="Z10" i="2" s="1"/>
  <c r="S10" i="2"/>
  <c r="T16" i="2"/>
  <c r="V16" i="2" s="1"/>
  <c r="W16" i="2" s="1"/>
  <c r="S16" i="2"/>
  <c r="T14" i="2"/>
  <c r="V14" i="2" s="1"/>
  <c r="W14" i="2" s="1"/>
  <c r="Y14" i="2" s="1"/>
  <c r="Z14" i="2" s="1"/>
  <c r="S14" i="2"/>
  <c r="T8" i="2"/>
  <c r="V8" i="2" s="1"/>
  <c r="W8" i="2" s="1"/>
  <c r="S8" i="2"/>
  <c r="T18" i="2"/>
  <c r="V18" i="2" s="1"/>
  <c r="W18" i="2" s="1"/>
  <c r="Y18" i="2" s="1"/>
  <c r="Z18" i="2" s="1"/>
  <c r="S18" i="2"/>
  <c r="S9" i="2"/>
  <c r="S6" i="2"/>
  <c r="T6" i="2"/>
  <c r="V6" i="2" s="1"/>
  <c r="W6" i="2" s="1"/>
  <c r="Y6" i="2" s="1"/>
  <c r="T17" i="2"/>
  <c r="V17" i="2" s="1"/>
  <c r="W17" i="2" s="1"/>
  <c r="Y17" i="2" s="1"/>
  <c r="Z17" i="2" s="1"/>
  <c r="S17" i="2"/>
  <c r="T15" i="2"/>
  <c r="V15" i="2" s="1"/>
  <c r="W15" i="2" s="1"/>
  <c r="Y15" i="2" s="1"/>
  <c r="Z15" i="2" s="1"/>
  <c r="S15" i="2"/>
  <c r="T13" i="2"/>
  <c r="V13" i="2" s="1"/>
  <c r="W13" i="2" s="1"/>
  <c r="Y13" i="2" s="1"/>
  <c r="Z13" i="2" s="1"/>
  <c r="S13" i="2"/>
  <c r="T7" i="2"/>
  <c r="V7" i="2" s="1"/>
  <c r="W7" i="2" s="1"/>
  <c r="Y7" i="2" s="1"/>
  <c r="Z7" i="2" s="1"/>
  <c r="S7" i="2"/>
  <c r="T11" i="2"/>
  <c r="V11" i="2" s="1"/>
  <c r="W11" i="2" s="1"/>
  <c r="S11" i="2"/>
  <c r="K13" i="7" l="1"/>
  <c r="P14" i="6"/>
  <c r="P17" i="6"/>
  <c r="P18" i="6" s="1"/>
  <c r="P19" i="6" s="1"/>
  <c r="K13" i="6"/>
  <c r="K16" i="6" s="1"/>
  <c r="K17" i="6" s="1"/>
  <c r="K18" i="6" s="1"/>
  <c r="P19" i="4"/>
  <c r="P20" i="4" s="1"/>
  <c r="P21" i="4" s="1"/>
  <c r="T11" i="10"/>
  <c r="Y12" i="10"/>
  <c r="Y13" i="10" s="1"/>
  <c r="Y25" i="10" s="1"/>
  <c r="Y14" i="10"/>
  <c r="O11" i="10"/>
  <c r="O12" i="10" s="1"/>
  <c r="R10" i="10"/>
  <c r="T10" i="10" s="1"/>
  <c r="AI12" i="10"/>
  <c r="AI10" i="10"/>
  <c r="AI11" i="10" s="1"/>
  <c r="AI18" i="10" s="1"/>
  <c r="F43" i="10"/>
  <c r="AD15" i="10" s="1"/>
  <c r="AD11" i="10"/>
  <c r="AD12" i="10" s="1"/>
  <c r="AD16" i="10" s="1"/>
  <c r="AD17" i="10" s="1"/>
  <c r="AD18" i="10" s="1"/>
  <c r="AD13" i="10"/>
  <c r="AN14" i="10"/>
  <c r="J16" i="8"/>
  <c r="J14" i="8"/>
  <c r="J15" i="8" s="1"/>
  <c r="J19" i="8" s="1"/>
  <c r="J20" i="8" s="1"/>
  <c r="J21" i="8" s="1"/>
  <c r="U12" i="7"/>
  <c r="U13" i="7" s="1"/>
  <c r="U14" i="7"/>
  <c r="P12" i="7"/>
  <c r="P13" i="7" s="1"/>
  <c r="P14" i="7"/>
  <c r="K17" i="7"/>
  <c r="K18" i="7" s="1"/>
  <c r="K19" i="7" s="1"/>
  <c r="L12" i="5"/>
  <c r="L13" i="5" s="1"/>
  <c r="L17" i="5" s="1"/>
  <c r="L18" i="5" s="1"/>
  <c r="L19" i="5" s="1"/>
  <c r="L14" i="5"/>
  <c r="K13" i="4"/>
  <c r="K14" i="4" s="1"/>
  <c r="K15" i="4"/>
  <c r="Y22" i="2"/>
  <c r="Z6" i="2"/>
  <c r="Z23" i="2" s="1"/>
  <c r="P18" i="7" l="1"/>
  <c r="P19" i="7" s="1"/>
  <c r="P20" i="7" s="1"/>
  <c r="U16" i="7"/>
  <c r="U17" i="7" s="1"/>
  <c r="U18" i="7" s="1"/>
  <c r="K18" i="4"/>
  <c r="K19" i="4" s="1"/>
  <c r="K20" i="4" s="1"/>
  <c r="AD20" i="10"/>
  <c r="AD21" i="10" s="1"/>
  <c r="AD22" i="10" s="1"/>
  <c r="AD19" i="10"/>
  <c r="AI20" i="10"/>
  <c r="AI21" i="10" s="1"/>
  <c r="AI22" i="10" s="1"/>
  <c r="AI23" i="10" s="1"/>
  <c r="AI24" i="10" s="1"/>
  <c r="AI26" i="10" s="1"/>
  <c r="AI19" i="10"/>
  <c r="Y27" i="10"/>
  <c r="Y26" i="10"/>
  <c r="O16" i="10"/>
  <c r="O14" i="10"/>
  <c r="O15" i="10" s="1"/>
  <c r="T14" i="10"/>
  <c r="T22" i="10" s="1"/>
  <c r="T23" i="10" s="1"/>
  <c r="T24" i="10" s="1"/>
  <c r="T25" i="10" s="1"/>
  <c r="T26" i="10" s="1"/>
  <c r="T27" i="10" s="1"/>
  <c r="T28" i="10" s="1"/>
  <c r="T13" i="10"/>
  <c r="T15" i="10"/>
  <c r="AN16" i="10"/>
  <c r="AN17" i="10" s="1"/>
  <c r="AN24" i="10" s="1"/>
  <c r="AN18" i="10"/>
  <c r="AN25" i="10" l="1"/>
  <c r="AN26" i="10" s="1"/>
  <c r="AN27" i="10" s="1"/>
  <c r="AN28" i="10" s="1"/>
  <c r="AN30" i="10" s="1"/>
  <c r="AN31" i="10" s="1"/>
  <c r="Y30" i="10"/>
  <c r="Y28" i="10"/>
  <c r="Y29" i="10" s="1"/>
  <c r="Y34" i="10" s="1"/>
  <c r="Y35" i="10" s="1"/>
  <c r="Y36" i="10" s="1"/>
  <c r="O21" i="10"/>
  <c r="O23" i="10" l="1"/>
  <c r="O22" i="10"/>
  <c r="O24" i="10" l="1"/>
  <c r="O25" i="10" s="1"/>
  <c r="O26" i="10" s="1"/>
</calcChain>
</file>

<file path=xl/comments1.xml><?xml version="1.0" encoding="utf-8"?>
<comments xmlns="http://schemas.openxmlformats.org/spreadsheetml/2006/main">
  <authors>
    <author>kara</author>
    <author>SRayavarapu</author>
    <author>Andrew H.A. Meggison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This is the incidental rate of $2.84 plus the 2.64% CAF for the rate review
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DCF agrees to raise stipend rate in accordance with the Rate Reviews.  At the next review this will be increased by the CAF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Per DCF email on 4/13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Per DCF email on 4/13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SRayavarapu:</t>
        </r>
        <r>
          <rPr>
            <sz val="9"/>
            <color indexed="81"/>
            <rFont val="Tahoma"/>
            <family val="2"/>
          </rPr>
          <t xml:space="preserve">
Effective April 1, 2014, the Teen Parent rate has been reduced by $7.45 per diem, to correct the error made in the original calculation of the rate.  
The Stipend rate is changed from $87.03 to $79.58 per diem, which changes the Total Rate from $148.41 to $140.96 per diem.  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SRayavarapu:</t>
        </r>
        <r>
          <rPr>
            <sz val="9"/>
            <color indexed="81"/>
            <rFont val="Tahoma"/>
            <family val="2"/>
          </rPr>
          <t xml:space="preserve">
Effective April 1, 2014, the Teen Parent rate has been reduced by $7.45 per diem, to correct the error made in the original calculation of the rate.  
The Stipend rate is changed from $87.03 to $79.58 per diem, which changes the Total Rate from $148.41 to $140.96 per diem.  </t>
        </r>
      </text>
    </comment>
    <comment ref="P10" authorId="2">
      <text>
        <r>
          <rPr>
            <b/>
            <sz val="9"/>
            <color indexed="81"/>
            <rFont val="Tahoma"/>
            <family val="2"/>
          </rPr>
          <t>Andrew H.A. Meggison:</t>
        </r>
        <r>
          <rPr>
            <sz val="9"/>
            <color indexed="81"/>
            <rFont val="Tahoma"/>
            <family val="2"/>
          </rPr>
          <t xml:space="preserve">
Adjusted for rounding issue </t>
        </r>
      </text>
    </comment>
    <comment ref="P11" authorId="2">
      <text>
        <r>
          <rPr>
            <b/>
            <sz val="9"/>
            <color indexed="81"/>
            <rFont val="Tahoma"/>
            <family val="2"/>
          </rPr>
          <t>Andrew H.A. Meggison:</t>
        </r>
        <r>
          <rPr>
            <sz val="9"/>
            <color indexed="81"/>
            <rFont val="Tahoma"/>
            <family val="2"/>
          </rPr>
          <t xml:space="preserve">
Adjusted for rounding issue </t>
        </r>
      </text>
    </comment>
    <comment ref="X12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Per DCF email on 4/13</t>
        </r>
      </text>
    </comment>
    <comment ref="P16" authorId="2">
      <text>
        <r>
          <rPr>
            <b/>
            <sz val="9"/>
            <color indexed="81"/>
            <rFont val="Tahoma"/>
            <family val="2"/>
          </rPr>
          <t>Andrew H.A. Meggison:</t>
        </r>
        <r>
          <rPr>
            <sz val="9"/>
            <color indexed="81"/>
            <rFont val="Tahoma"/>
            <family val="2"/>
          </rPr>
          <t xml:space="preserve">
Adjusted for rounding issue </t>
        </r>
      </text>
    </comment>
    <comment ref="X20" authorId="0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this is the difference in CFC0 between FY15 database spend and DCF calculated spend above</t>
        </r>
      </text>
    </comment>
    <comment ref="D21" authorId="2">
      <text>
        <r>
          <rPr>
            <b/>
            <sz val="9"/>
            <color indexed="8"/>
            <rFont val="Tahoma"/>
            <family val="2"/>
          </rPr>
          <t>Andrew H.A. Meggison:</t>
        </r>
        <r>
          <rPr>
            <sz val="9"/>
            <color indexed="8"/>
            <rFont val="Tahoma"/>
            <family val="2"/>
          </rPr>
          <t xml:space="preserve">
Caregivers are employees  </t>
        </r>
      </text>
    </comment>
    <comment ref="I21" authorId="2">
      <text>
        <r>
          <rPr>
            <b/>
            <sz val="9"/>
            <color indexed="8"/>
            <rFont val="Tahoma"/>
            <family val="2"/>
          </rPr>
          <t>Andrew H.A. Meggison:</t>
        </r>
        <r>
          <rPr>
            <sz val="9"/>
            <color indexed="8"/>
            <rFont val="Tahoma"/>
            <family val="2"/>
          </rPr>
          <t xml:space="preserve">
Caregivers are employees  </t>
        </r>
      </text>
    </comment>
    <comment ref="O21" authorId="2">
      <text>
        <r>
          <rPr>
            <b/>
            <sz val="9"/>
            <color indexed="8"/>
            <rFont val="Tahoma"/>
            <family val="2"/>
          </rPr>
          <t>Andrew H.A. Meggison:</t>
        </r>
        <r>
          <rPr>
            <sz val="9"/>
            <color indexed="8"/>
            <rFont val="Tahoma"/>
            <family val="2"/>
          </rPr>
          <t xml:space="preserve">
Caregivers are employees  </t>
        </r>
      </text>
    </comment>
    <comment ref="R21" authorId="2">
      <text>
        <r>
          <rPr>
            <b/>
            <sz val="9"/>
            <color indexed="8"/>
            <rFont val="Tahoma"/>
            <family val="2"/>
          </rPr>
          <t>Andrew H.A. Meggison:</t>
        </r>
        <r>
          <rPr>
            <sz val="9"/>
            <color indexed="8"/>
            <rFont val="Tahoma"/>
            <family val="2"/>
          </rPr>
          <t xml:space="preserve">
Caregivers are employees 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O29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Equals the rate w/ CAF + token economy daily amount.</t>
        </r>
      </text>
    </comment>
  </commentList>
</comments>
</file>

<file path=xl/comments3.xml><?xml version="1.0" encoding="utf-8"?>
<comments xmlns="http://schemas.openxmlformats.org/spreadsheetml/2006/main">
  <authors>
    <author>sysadmin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sysadmin:</t>
        </r>
        <r>
          <rPr>
            <sz val="9"/>
            <color indexed="81"/>
            <rFont val="Tahoma"/>
            <family val="2"/>
          </rPr>
          <t xml:space="preserve">
FTE calculated by:
2080*$11 an hour/ pay amount depending on intensity level.
</t>
        </r>
      </text>
    </comment>
  </commentList>
</comments>
</file>

<file path=xl/comments4.xml><?xml version="1.0" encoding="utf-8"?>
<comments xmlns="http://schemas.openxmlformats.org/spreadsheetml/2006/main">
  <authors>
    <author>Andrew H.A. Meggison</author>
    <author>kara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Andrew H.A. Meggison:</t>
        </r>
        <r>
          <rPr>
            <sz val="9"/>
            <color indexed="81"/>
            <rFont val="Tahoma"/>
            <family val="2"/>
          </rPr>
          <t xml:space="preserve">
Rates used in regulation 
1/15/14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Andrew H.A. Meggison:</t>
        </r>
        <r>
          <rPr>
            <sz val="9"/>
            <color indexed="81"/>
            <rFont val="Tahoma"/>
            <family val="2"/>
          </rPr>
          <t xml:space="preserve">
new levels are in pink. 
11/21/13</t>
        </r>
      </text>
    </comment>
    <comment ref="M25" authorId="1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New stipend rages added for 2016 Rate review</t>
        </r>
      </text>
    </comment>
    <comment ref="Z27" authorId="1">
      <text>
        <r>
          <rPr>
            <b/>
            <sz val="9"/>
            <color indexed="81"/>
            <rFont val="Tahoma"/>
            <family val="2"/>
          </rPr>
          <t>kara:</t>
        </r>
        <r>
          <rPr>
            <sz val="9"/>
            <color indexed="81"/>
            <rFont val="Tahoma"/>
            <family val="2"/>
          </rPr>
          <t xml:space="preserve">
Per Dylan 10/16 phone call - this is flat funded</t>
        </r>
      </text>
    </comment>
    <comment ref="E616" authorId="0">
      <text>
        <r>
          <rPr>
            <b/>
            <sz val="9"/>
            <color indexed="81"/>
            <rFont val="Tahoma"/>
            <family val="2"/>
          </rPr>
          <t>Andrew H.A. Meggison:</t>
        </r>
        <r>
          <rPr>
            <sz val="9"/>
            <color indexed="81"/>
            <rFont val="Tahoma"/>
            <family val="2"/>
          </rPr>
          <t xml:space="preserve">
whats in here, is this a stipend --  check with DDS</t>
        </r>
      </text>
    </comment>
  </commentList>
</comments>
</file>

<file path=xl/sharedStrings.xml><?xml version="1.0" encoding="utf-8"?>
<sst xmlns="http://schemas.openxmlformats.org/spreadsheetml/2006/main" count="1535" uniqueCount="622">
  <si>
    <t>Source: 
2017 / 2019 
BLS / OES</t>
  </si>
  <si>
    <t>Position</t>
  </si>
  <si>
    <t>Median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</si>
  <si>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</si>
  <si>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</si>
  <si>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</si>
  <si>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</si>
  <si>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Direct Care (hourly)</t>
  </si>
  <si>
    <t>Direct Care, Direct Care Blend, Non Specialized DC, Peer mentor, Family Specialist/ Partner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</si>
  <si>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</si>
  <si>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</si>
  <si>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</si>
  <si>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</si>
  <si>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</si>
  <si>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</si>
  <si>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</si>
  <si>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</si>
  <si>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</si>
  <si>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</si>
  <si>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</si>
  <si>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</si>
  <si>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</si>
  <si>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</si>
  <si>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</si>
  <si>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</si>
  <si>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</si>
  <si>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</si>
  <si>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</si>
  <si>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</si>
  <si>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</si>
  <si>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</si>
  <si>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</si>
  <si>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</si>
  <si>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Clinical Manager (hourly)</t>
  </si>
  <si>
    <t>Clinical Manager, Clinical Director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</si>
  <si>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</si>
  <si>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</si>
  <si>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</si>
  <si>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</si>
  <si>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</si>
  <si>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</si>
  <si>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</si>
  <si>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</si>
  <si>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</si>
  <si>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</si>
  <si>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</si>
  <si>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Overnight staff (asleep or awake) and Caregiver Relief / Respite benched to $14.25 / hr or $ 29,640 annually, for rate reviews effective in FY21</t>
  </si>
  <si>
    <t>CY20 min. wage = $13.50 and CY20 min. wage = $14.25</t>
  </si>
  <si>
    <t>Tax &amp; Fringe</t>
  </si>
  <si>
    <t>Benchmarked to FY20 Commonwealth (office of the Comptroller) T&amp;F rate, less terminal leave, retirement and Paid Family Medical Leave tax</t>
  </si>
  <si>
    <t>PFLMA</t>
  </si>
  <si>
    <t>CAF</t>
  </si>
  <si>
    <t>Prospective period FY21 &amp; FY22</t>
  </si>
  <si>
    <t>These rates are to be written out of the rate review regulation</t>
  </si>
  <si>
    <t>CAF (2016)</t>
  </si>
  <si>
    <t>101 CMR 411.00:  RATES FOR CERTAIN PLACEMENT AND SUPPORT SERVICES
(Rates Effective April 1, 2014)</t>
  </si>
  <si>
    <t>101 CMR 411.00:  RATES FOR CERTAIN PLACEMENT AND SUPPORT SERVICES
(Rate Review Effective July 1, 2016)</t>
  </si>
  <si>
    <t>101 CMR 411.00:   Rates Effective Pursuant to Contracts Executed Under FY 2014 or Subsequent Procurements</t>
  </si>
  <si>
    <t>October 2016 - October 2018</t>
  </si>
  <si>
    <t>Current</t>
  </si>
  <si>
    <t>July 2020 - June 2022</t>
  </si>
  <si>
    <t xml:space="preserve"> Youth </t>
  </si>
  <si>
    <t>Proposed Rates (CAF Only)</t>
  </si>
  <si>
    <t xml:space="preserve">OP rate plus CAF </t>
  </si>
  <si>
    <t>Rate with DCF Adj. (No CAF)</t>
  </si>
  <si>
    <t>Total</t>
  </si>
  <si>
    <t>I. IFC</t>
  </si>
  <si>
    <t>Operational Rate</t>
  </si>
  <si>
    <t xml:space="preserve">Stipend Rate </t>
  </si>
  <si>
    <t>Total Rate</t>
  </si>
  <si>
    <t>percent of change</t>
  </si>
  <si>
    <t>FY15 Spend</t>
  </si>
  <si>
    <t>Fiscal Impact</t>
  </si>
  <si>
    <t>Annualized Variance</t>
  </si>
  <si>
    <t xml:space="preserve">Community-based Alternative to Detention Bed Hold </t>
  </si>
  <si>
    <t>n/a</t>
  </si>
  <si>
    <t>Sibling</t>
  </si>
  <si>
    <t>Intensive Foster Care One</t>
  </si>
  <si>
    <t>Intensive Foster Care Two</t>
  </si>
  <si>
    <t>Community-based Alternative to Detention</t>
  </si>
  <si>
    <t>Teen Parent (Emergency Adoption April 1, 2014 )</t>
  </si>
  <si>
    <t>Teen Parent</t>
  </si>
  <si>
    <t>Enhanced Foster Care</t>
  </si>
  <si>
    <t>Enhanced Intensive Foster Care</t>
  </si>
  <si>
    <t>II. IFC Specialty</t>
  </si>
  <si>
    <t>Transitions to Adulthood</t>
  </si>
  <si>
    <t>Emergency Shelter Homes</t>
  </si>
  <si>
    <t>Child Home-Based Rehabilitation</t>
  </si>
  <si>
    <t>Transitions to Adult Services</t>
  </si>
  <si>
    <t>Multiple Acute Level A</t>
  </si>
  <si>
    <t>Multiple Acute Level B</t>
  </si>
  <si>
    <t>Sexually Exploited Youth</t>
  </si>
  <si>
    <t>III. Family Residential</t>
  </si>
  <si>
    <t xml:space="preserve">Family Residential  </t>
  </si>
  <si>
    <t>Total for CFC0</t>
  </si>
  <si>
    <t>AMSS</t>
  </si>
  <si>
    <t>2018 CAF (1.87%)</t>
  </si>
  <si>
    <t>Description</t>
  </si>
  <si>
    <t>Original Rate</t>
  </si>
  <si>
    <t>Current Rate (4/1/14)</t>
  </si>
  <si>
    <t>Methodology</t>
  </si>
  <si>
    <t>Current Rate 2016</t>
  </si>
  <si>
    <t>Proposed Rate Oct 2018</t>
  </si>
  <si>
    <t>Placeholder CAF</t>
  </si>
  <si>
    <t>Proposed Rate July 2020</t>
  </si>
  <si>
    <t>Adoption Assessment of a Child</t>
  </si>
  <si>
    <t>Apply 9.72% CAF</t>
  </si>
  <si>
    <t>Adoption Assessment/Homestudy of a Foster/relative family (with whom the child is placed)</t>
  </si>
  <si>
    <t>Adoption Assessment/Homestudy of a relative (child is not in the home)</t>
  </si>
  <si>
    <t>MAPP training/Homestudy of a referred person or couple</t>
  </si>
  <si>
    <t>Appearance fee</t>
  </si>
  <si>
    <t>Mapp Training only</t>
  </si>
  <si>
    <r>
      <t>2.</t>
    </r>
    <r>
      <rPr>
        <i/>
        <sz val="10"/>
        <rFont val="Arial"/>
        <family val="2"/>
      </rPr>
      <t xml:space="preserve"> Adoption Placement Case Management Services:</t>
    </r>
  </si>
  <si>
    <t>Case acceptance/assignment</t>
  </si>
  <si>
    <t>Adoption Assessment of a child</t>
  </si>
  <si>
    <t>Adoption AssessmentHomestudy of a family with whom the child is placed</t>
  </si>
  <si>
    <t>Placement</t>
  </si>
  <si>
    <t>Mild</t>
  </si>
  <si>
    <t>Moderate</t>
  </si>
  <si>
    <t>Severe</t>
  </si>
  <si>
    <t>Family Development</t>
  </si>
  <si>
    <t>Re-Evaluations</t>
  </si>
  <si>
    <t>Child(ren)/Legalization</t>
  </si>
  <si>
    <t xml:space="preserve">Adjustment for a case held at least 3 years but less than 5. </t>
  </si>
  <si>
    <t>Sibling Bonus in Same Home/Legalization</t>
  </si>
  <si>
    <t>2 siblings</t>
  </si>
  <si>
    <t>3 siblings</t>
  </si>
  <si>
    <t>4 siblings</t>
  </si>
  <si>
    <t>5 or more siblings</t>
  </si>
  <si>
    <t>Family Bonus for Provider's Home at Legalization per child, minimum of 2 children</t>
  </si>
  <si>
    <t>Closure</t>
  </si>
  <si>
    <t>Case Maintenance</t>
  </si>
  <si>
    <t>Delayed Adoption / Legal Delay / Appeal</t>
  </si>
  <si>
    <t>Conflict of Interest Family Resource</t>
  </si>
  <si>
    <t>Transfer of case (no activity for 6 months)</t>
  </si>
  <si>
    <r>
      <t>3</t>
    </r>
    <r>
      <rPr>
        <i/>
        <sz val="10"/>
        <rFont val="Arial"/>
        <family val="2"/>
      </rPr>
      <t>.Adoption Family Development Services:</t>
    </r>
  </si>
  <si>
    <t>Purchase of Home</t>
  </si>
  <si>
    <t>Re-Utilization of a Closed Home</t>
  </si>
  <si>
    <r>
      <t>4</t>
    </r>
    <r>
      <rPr>
        <i/>
        <sz val="10"/>
        <rFont val="Arial"/>
        <family val="2"/>
      </rPr>
      <t>.Recruitment</t>
    </r>
  </si>
  <si>
    <t>Child-specific recruitment</t>
  </si>
  <si>
    <t>Child-specific recruitment renewal</t>
  </si>
  <si>
    <r>
      <t>5</t>
    </r>
    <r>
      <rPr>
        <i/>
        <sz val="10"/>
        <rFont val="Arial"/>
        <family val="2"/>
      </rPr>
      <t>. Intervention Services</t>
    </r>
  </si>
  <si>
    <t>Negotiated rate</t>
  </si>
  <si>
    <t>$44.80 per hour</t>
  </si>
  <si>
    <t>Draft proposal of $44.80 based on $50k plus T&amp;F/1384. Rare cases for exceptional circumstances will use 114.5 CMR 4.00 for time limited rate.</t>
  </si>
  <si>
    <r>
      <t>6</t>
    </r>
    <r>
      <rPr>
        <i/>
        <sz val="10"/>
        <rFont val="Arial"/>
        <family val="2"/>
      </rPr>
      <t>. Interstate Cases</t>
    </r>
  </si>
  <si>
    <t>Homestudy</t>
  </si>
  <si>
    <t>Current Rate + 1/2 of the transfer of case rate</t>
  </si>
  <si>
    <t>Assignment</t>
  </si>
  <si>
    <t>Case Supervision</t>
  </si>
  <si>
    <t>Case Supervision (monthly)</t>
  </si>
  <si>
    <r>
      <t>7.</t>
    </r>
    <r>
      <rPr>
        <sz val="11"/>
        <rFont val="Calibri"/>
        <family val="2"/>
      </rPr>
      <t>Family Evaluation Home Study in Puerto Rico</t>
    </r>
  </si>
  <si>
    <t>Family Evaluation Home Study in Puerto Rico</t>
  </si>
  <si>
    <t xml:space="preserve">DCF analysis looking at BLS social worker salary for the State of Massachusetts and Puerto Rico. </t>
  </si>
  <si>
    <t>Family Evaluation Home Study in Puerto Rico (Daily Rate)</t>
  </si>
  <si>
    <t>Additional Support Services (Support Contracts)</t>
  </si>
  <si>
    <t xml:space="preserve"> Current  Rate</t>
  </si>
  <si>
    <t xml:space="preserve">Rate Per </t>
  </si>
  <si>
    <t>Proposed Rate 2016</t>
  </si>
  <si>
    <t xml:space="preserve">Current Rate Oct 2018 </t>
  </si>
  <si>
    <t xml:space="preserve">Proposed Rate Oct 2020 </t>
  </si>
  <si>
    <t xml:space="preserve">Multiple Adoption Services </t>
  </si>
  <si>
    <t>Per month -- Accommodations rate using true staffing levels</t>
  </si>
  <si>
    <t xml:space="preserve"> Youth Permanency Connections </t>
  </si>
  <si>
    <t>Per day increase. -- Unit rate</t>
  </si>
  <si>
    <t xml:space="preserve">Multiple Post Adoption Services </t>
  </si>
  <si>
    <t>Per month -- Accommodations rate</t>
  </si>
  <si>
    <t xml:space="preserve">Complex Foster Care Medical Component </t>
  </si>
  <si>
    <t>Per day -- Unit Rate</t>
  </si>
  <si>
    <t xml:space="preserve">Multiple Foster Parent Support Services </t>
  </si>
  <si>
    <t>MASTER DATA LOOK-UP TABLE</t>
  </si>
  <si>
    <t>Benchmark Salaries</t>
  </si>
  <si>
    <t>BLS</t>
  </si>
  <si>
    <t>Source</t>
  </si>
  <si>
    <t xml:space="preserve"> </t>
  </si>
  <si>
    <t>Intensive Foster Care One and Two Model Budget</t>
  </si>
  <si>
    <t>Enhanced Foster Care Model Budget</t>
  </si>
  <si>
    <t>Family Resource Worker</t>
  </si>
  <si>
    <t>11/1/19: Benchmark to BLS Caseworker: Minimum education = BA or 8 years related experience</t>
  </si>
  <si>
    <t>Youth</t>
  </si>
  <si>
    <t>Service Days</t>
  </si>
  <si>
    <t>DC Supervisor</t>
  </si>
  <si>
    <t>11/1/19: Benchmark to Direct Care III: Minimum education = BA or 5+ years related experience</t>
  </si>
  <si>
    <t>Salary</t>
  </si>
  <si>
    <t>Total FTE</t>
  </si>
  <si>
    <t>Expense</t>
  </si>
  <si>
    <t>Case Manager/Child Care Worker</t>
  </si>
  <si>
    <t>Support</t>
  </si>
  <si>
    <t xml:space="preserve">11/1/19: Benchmark to Direct Care : Minimum education = HS Diploma / GED / Associates </t>
  </si>
  <si>
    <t>Program Director</t>
  </si>
  <si>
    <t>Benchmark from YITS, 101 CMR 413</t>
  </si>
  <si>
    <t>Benchmark FTEs</t>
  </si>
  <si>
    <t xml:space="preserve"> Capacity: </t>
  </si>
  <si>
    <t>8 clients</t>
  </si>
  <si>
    <t>5 clients</t>
  </si>
  <si>
    <t xml:space="preserve">DCF defined </t>
  </si>
  <si>
    <t>Total Program Staff</t>
  </si>
  <si>
    <t xml:space="preserve">Assumes 1 DC Supervisor for every 6 Case Mangers.  </t>
  </si>
  <si>
    <t xml:space="preserve">Assumes a 1:8 and 1:5 ratio </t>
  </si>
  <si>
    <t>Tax and Fringe</t>
  </si>
  <si>
    <t>Total Staffing Costs</t>
  </si>
  <si>
    <t>Benchmark Expenses</t>
  </si>
  <si>
    <t>Admin Allocation</t>
  </si>
  <si>
    <t>11/1/19 Benchmarked to MA Comptroller FY20</t>
  </si>
  <si>
    <t>Flex Pool</t>
  </si>
  <si>
    <t>Admin Alloc. (M &amp;G)</t>
  </si>
  <si>
    <t>Benchmark to current rate</t>
  </si>
  <si>
    <t>Total Reimb Excl M &amp; G</t>
  </si>
  <si>
    <t>Consultation (clinical/Behavioral)</t>
  </si>
  <si>
    <t>CAF Rate</t>
  </si>
  <si>
    <t xml:space="preserve">Per Service Per day </t>
  </si>
  <si>
    <t xml:space="preserve">Stipend CAF rate   </t>
  </si>
  <si>
    <t>October 2016 CAF</t>
  </si>
  <si>
    <t>October 2018 CAF</t>
  </si>
  <si>
    <t xml:space="preserve">Sibling </t>
  </si>
  <si>
    <t>Flex pool ( provider to maintain pool, amt is not child-specific)</t>
  </si>
  <si>
    <t>FY2019</t>
  </si>
  <si>
    <t>Current Stipend</t>
  </si>
  <si>
    <t>Proposed Stipend</t>
  </si>
  <si>
    <t xml:space="preserve">Enhanced Foster Care Stipend </t>
  </si>
  <si>
    <t>Rate Review CAF (Spring 2019)</t>
  </si>
  <si>
    <t>PFLMA Trust Contribution</t>
  </si>
  <si>
    <t>Per the Grand Bargain Agreement</t>
  </si>
  <si>
    <t xml:space="preserve">Average DCF Departmental Stipend </t>
  </si>
  <si>
    <t>FY19 &amp; FY20 DCF Stipend Rate</t>
  </si>
  <si>
    <t>Acuity (op.)</t>
  </si>
  <si>
    <t>Acuity</t>
  </si>
  <si>
    <t>FY21 &amp; FY22 DCF Stipend Rate</t>
  </si>
  <si>
    <t xml:space="preserve">Intensive Foster Care One Stipend </t>
  </si>
  <si>
    <t>Teen Parent Rate</t>
  </si>
  <si>
    <t>Proposed</t>
  </si>
  <si>
    <t>Teen Parent Operational (Op.)</t>
  </si>
  <si>
    <t>IFC Operational Rate</t>
  </si>
  <si>
    <t>Operational Acuity</t>
  </si>
  <si>
    <t>Total (Op)</t>
  </si>
  <si>
    <t>Teen Parent Stipend Rate</t>
  </si>
  <si>
    <t>Intensive Foster Care Two Stipend</t>
  </si>
  <si>
    <t>IFC Stipend Rate</t>
  </si>
  <si>
    <t>Sibling Rate</t>
  </si>
  <si>
    <t>Total Stipend</t>
  </si>
  <si>
    <t>Experience Incentive Added To Total</t>
  </si>
  <si>
    <t xml:space="preserve">Total Plus $10 added to the IFC stipend rate  </t>
  </si>
  <si>
    <t xml:space="preserve">Current JDAI Hold Rate </t>
  </si>
  <si>
    <t>Community-based Alternative to Detention Stipend</t>
  </si>
  <si>
    <t xml:space="preserve">IFC proposed stipend rate </t>
  </si>
  <si>
    <t>Community-based Alternative to Detention Ops</t>
  </si>
  <si>
    <t>Child Home-Based Rehabilitation IFC Other Foster Care Model Budget</t>
  </si>
  <si>
    <t>Case Manager/
Child Care Worker</t>
  </si>
  <si>
    <t>Nursing</t>
  </si>
  <si>
    <t>11/1/19: Benchmark to BLS Registered Nurse</t>
  </si>
  <si>
    <t xml:space="preserve">Assumes a 1:8 </t>
  </si>
  <si>
    <t>DCF defined : Increased per DCF need for enhanced documentation and training for foster parents/groups</t>
  </si>
  <si>
    <t>current</t>
  </si>
  <si>
    <t>Child Homebased Rehab Stipend</t>
  </si>
  <si>
    <t>DCF</t>
  </si>
  <si>
    <t>Child home based 
rehab RATES</t>
  </si>
  <si>
    <t>Admin</t>
  </si>
  <si>
    <t>STIPEND</t>
  </si>
  <si>
    <t>Emergency Shelter Homes IFC Other Foster Care Model Budget</t>
  </si>
  <si>
    <t>Sexually Exploited Youth IFC Other Foster Care Model Budget</t>
  </si>
  <si>
    <t>Mentors (paraprofessionals)</t>
  </si>
  <si>
    <t xml:space="preserve">Assumes 1 DC Supervisor for every 6 Case Mangers.  5 client mod. is DCF defined </t>
  </si>
  <si>
    <t>Child Case  Worker</t>
  </si>
  <si>
    <t>Emergency Shelter Homes Stipend</t>
  </si>
  <si>
    <t>Emergency Shelter Homes RATES</t>
  </si>
  <si>
    <t>Sexually Exploited RATES</t>
  </si>
  <si>
    <t>Transitions to Adult Services IFC Other Foster Care Model Budget</t>
  </si>
  <si>
    <t>Clinician w/ Indep Lic.</t>
  </si>
  <si>
    <t>Masters Level Clinician w/ Indep Lic</t>
  </si>
  <si>
    <t xml:space="preserve">Family Resource Worker </t>
  </si>
  <si>
    <t>Level A</t>
  </si>
  <si>
    <t>Level B</t>
  </si>
  <si>
    <t>Clinical Care Manager</t>
  </si>
  <si>
    <t xml:space="preserve">Vehicle </t>
  </si>
  <si>
    <t>Linked to other costs for STARR, vehicle costs linked to wheelchair vans in ALTC</t>
  </si>
  <si>
    <t xml:space="preserve"> Particular needs</t>
  </si>
  <si>
    <t>Particular needs of transitioning kids (CVS, gas etc.)
Represents 1/7 of the max $23/week.</t>
  </si>
  <si>
    <t>Multiple Acute Level A Stipend</t>
  </si>
  <si>
    <t>Multiple Acute Level B Stipend</t>
  </si>
  <si>
    <t>Multiple AcuteLevel A</t>
  </si>
  <si>
    <t>Multiple AcuteLevel B</t>
  </si>
  <si>
    <t>Transitions to Adult Services RATES</t>
  </si>
  <si>
    <t>Transitions to Adulthood IFC Other Foster Care Model Budget</t>
  </si>
  <si>
    <t>Social Worker (LICSW)</t>
  </si>
  <si>
    <t>11/1/19 Benchmark to BLS Clinical w/Licensure</t>
  </si>
  <si>
    <t>Social Worker (LSW)</t>
  </si>
  <si>
    <t>11/1/19 Benchmark to BLS Caseworker / Social worker: Minimum eduction= BA</t>
  </si>
  <si>
    <t>Transitions to Adulthood RATES</t>
  </si>
  <si>
    <t xml:space="preserve">Family Residential </t>
  </si>
  <si>
    <t>Social Worker/Child Care Worker</t>
  </si>
  <si>
    <t>1 Client</t>
  </si>
  <si>
    <t>was</t>
  </si>
  <si>
    <t>Clinician Consultation</t>
  </si>
  <si>
    <t>1/2 hour week or 1 hour every other week</t>
  </si>
  <si>
    <t>Care Giver Respite (24 hours)</t>
  </si>
  <si>
    <t>above line</t>
  </si>
  <si>
    <t>$14.25 per hour - 24 hours per youth</t>
  </si>
  <si>
    <t>Vehicle</t>
  </si>
  <si>
    <t>ALTR Single Vehicle Rate</t>
  </si>
  <si>
    <t>Rate Review CAF (Placeholder)</t>
  </si>
  <si>
    <t>Master Look Up Table</t>
  </si>
  <si>
    <t>12/18/19  DCF no Longer uses this model</t>
  </si>
  <si>
    <t>Benchmark Salary</t>
  </si>
  <si>
    <t>Rate(s) effective 7/1/20</t>
  </si>
  <si>
    <t xml:space="preserve">Comprehensive Services Family Stabilization 114.4 CMR 14.00 </t>
  </si>
  <si>
    <t>Multiple Adoption Services Model</t>
  </si>
  <si>
    <t>Multiple Post Adoption Services</t>
  </si>
  <si>
    <t>Multiple Foster Parent Support Services Model</t>
  </si>
  <si>
    <t>Youth Permanency Connections Model</t>
  </si>
  <si>
    <t>Foster Home Management and Recruitment</t>
  </si>
  <si>
    <t>Complex Medical Foster Care  Compoment Model</t>
  </si>
  <si>
    <t>Asst prog dir</t>
  </si>
  <si>
    <t>FTEs</t>
  </si>
  <si>
    <t>Salary Exp</t>
  </si>
  <si>
    <t xml:space="preserve"> FTEs</t>
  </si>
  <si>
    <t>Supervisory</t>
  </si>
  <si>
    <t>Prog Dir</t>
  </si>
  <si>
    <t>Program Dir</t>
  </si>
  <si>
    <t>Prog Staff III</t>
  </si>
  <si>
    <t>Program F. Mngr</t>
  </si>
  <si>
    <t>Prog Staff II</t>
  </si>
  <si>
    <t>Dir Care LSWs</t>
  </si>
  <si>
    <t>Asst Prog Dir</t>
  </si>
  <si>
    <t>Prog Staff I</t>
  </si>
  <si>
    <t>RN</t>
  </si>
  <si>
    <t>LPN</t>
  </si>
  <si>
    <t>Non Specialist</t>
  </si>
  <si>
    <t>Tax &amp; fringe</t>
  </si>
  <si>
    <t>Specialist (LICSW)</t>
  </si>
  <si>
    <t>Total Compensation</t>
  </si>
  <si>
    <t>Prog F. Mngr</t>
  </si>
  <si>
    <t>Tota Staffing Costs</t>
  </si>
  <si>
    <t>Clinical</t>
  </si>
  <si>
    <t>11/1/19 Benchmark to BLS Case Manager / Social worker: Minimum eduction= MA</t>
  </si>
  <si>
    <t>Occupancy (per FTE)</t>
  </si>
  <si>
    <t>Direct Care</t>
  </si>
  <si>
    <t>Staff travel</t>
  </si>
  <si>
    <t xml:space="preserve">Caseworker </t>
  </si>
  <si>
    <t>Occupancy</t>
  </si>
  <si>
    <t>Other program exp (of total staff)</t>
  </si>
  <si>
    <t>Meals</t>
  </si>
  <si>
    <t>Subcontracted direct care</t>
  </si>
  <si>
    <t>Total Excl M &amp; G</t>
  </si>
  <si>
    <t>Program supplies</t>
  </si>
  <si>
    <t>11/1/19 Benchmark to Registered Nurse</t>
  </si>
  <si>
    <t>Staff training</t>
  </si>
  <si>
    <t>Administrative Allocation</t>
  </si>
  <si>
    <t>Program support</t>
  </si>
  <si>
    <t>11/1/19 Benchmark to BLS LPN</t>
  </si>
  <si>
    <t>Other program</t>
  </si>
  <si>
    <t>Staff training &amp; meals</t>
  </si>
  <si>
    <t>Caregiver stipends</t>
  </si>
  <si>
    <t>FTE Level</t>
  </si>
  <si>
    <t>Travel/dir FTE (per asst dir, prog staff III,II,I)</t>
  </si>
  <si>
    <t>Consultants</t>
  </si>
  <si>
    <t>Staff travel (FTE 2 of Prog Dir;others excl support)</t>
  </si>
  <si>
    <t xml:space="preserve">DCF defined  </t>
  </si>
  <si>
    <t>Dir admin (per prog staf III,II,I)</t>
  </si>
  <si>
    <t>Travel (Asst pr dir through specialist)</t>
  </si>
  <si>
    <t>Client transport</t>
  </si>
  <si>
    <t xml:space="preserve">Total </t>
  </si>
  <si>
    <t>Dir admin (per Non Spec and Specialist)</t>
  </si>
  <si>
    <t>Rate per Client per day</t>
  </si>
  <si>
    <t>Staff travel &amp; training (pr f. mngr through Prog I)</t>
  </si>
  <si>
    <t>Other prog exp (per all but Support)</t>
  </si>
  <si>
    <t>Other prog exp</t>
  </si>
  <si>
    <t>Dir Admin exp (RN thru Prog St I)</t>
  </si>
  <si>
    <t>Dir Admin exp</t>
  </si>
  <si>
    <t>Rate/month</t>
  </si>
  <si>
    <t>Utilization Factor</t>
  </si>
  <si>
    <t>Rate per day (10 beds = full cap)</t>
  </si>
  <si>
    <t>Dir Care</t>
  </si>
  <si>
    <t>Respite Units</t>
  </si>
  <si>
    <t>Casework Mngr</t>
  </si>
  <si>
    <t>Respite Units (prior RR)</t>
  </si>
  <si>
    <t>Respite Units (avg 2 Fy prior)</t>
  </si>
  <si>
    <t>New Base</t>
  </si>
  <si>
    <t xml:space="preserve">Compensation Calculations </t>
  </si>
  <si>
    <t>Rate Accomodation</t>
  </si>
  <si>
    <t>Travel</t>
  </si>
  <si>
    <t>Linked to UFR SchB Program Type</t>
  </si>
  <si>
    <t>Dir admin</t>
  </si>
  <si>
    <t xml:space="preserve">$2,622 benchmark to Family Stabilization 114.4 CMR 14.03| $1,417 rate linked to model drafting </t>
  </si>
  <si>
    <t xml:space="preserve">$4,033 linked to UFR FY11 | $884 linked to model drafting </t>
  </si>
  <si>
    <t>Other program exp</t>
  </si>
  <si>
    <t>20% benchmark to Family Stabilization 114.4 CMR 14.00 | $1,549 linked to model drafting</t>
  </si>
  <si>
    <t xml:space="preserve">Total Other Expenses </t>
  </si>
  <si>
    <t>Travel/dir FTE</t>
  </si>
  <si>
    <t xml:space="preserve">Staff training </t>
  </si>
  <si>
    <t>Tax and fringe</t>
  </si>
  <si>
    <t>A&amp;G</t>
  </si>
  <si>
    <t xml:space="preserve">Rate Review CAF </t>
  </si>
  <si>
    <t>FY21 &amp; FY22</t>
  </si>
  <si>
    <t>Master Look-Up Data</t>
  </si>
  <si>
    <t>FY21 Proposed Rates Shared Living Services</t>
  </si>
  <si>
    <t>Days</t>
  </si>
  <si>
    <t>Hours</t>
  </si>
  <si>
    <t>vacation</t>
  </si>
  <si>
    <t>A</t>
  </si>
  <si>
    <t>B</t>
  </si>
  <si>
    <t>C</t>
  </si>
  <si>
    <t>sick/ personal</t>
  </si>
  <si>
    <t>Model Budget</t>
  </si>
  <si>
    <t>holidays</t>
  </si>
  <si>
    <t>Level: 1</t>
  </si>
  <si>
    <t>Bed Days:</t>
  </si>
  <si>
    <t>Level: 2</t>
  </si>
  <si>
    <t>Level: 3</t>
  </si>
  <si>
    <t>training</t>
  </si>
  <si>
    <t xml:space="preserve">Exp. Caseload  </t>
  </si>
  <si>
    <t>Total Hours per FTE:</t>
  </si>
  <si>
    <t>FTE</t>
  </si>
  <si>
    <t>Caseworker</t>
  </si>
  <si>
    <t>Service Level A</t>
  </si>
  <si>
    <t>Service Level B</t>
  </si>
  <si>
    <t>Service Level C</t>
  </si>
  <si>
    <t xml:space="preserve">Placement Spec </t>
  </si>
  <si>
    <t>Original benchmark plus compunding CAFs</t>
  </si>
  <si>
    <t xml:space="preserve">Caregiver Relief/Respite  </t>
  </si>
  <si>
    <t>Benchmark to BLS Case / Social worker BA level or 8+ years relevant experience</t>
  </si>
  <si>
    <t>Placement Specialist</t>
  </si>
  <si>
    <t>Expenses</t>
  </si>
  <si>
    <t>Unit Cost</t>
  </si>
  <si>
    <t>Benchmarked to $14.25 per hour which is minimum wage through completion of rate cycle</t>
  </si>
  <si>
    <t xml:space="preserve"> A</t>
  </si>
  <si>
    <t xml:space="preserve"> B</t>
  </si>
  <si>
    <t xml:space="preserve"> C</t>
  </si>
  <si>
    <t>Agency Determined</t>
  </si>
  <si>
    <t xml:space="preserve"> Consultant / Clinical</t>
  </si>
  <si>
    <t>Respite / Caregiver Relief</t>
  </si>
  <si>
    <t xml:space="preserve">Staff/Caregiver Training </t>
  </si>
  <si>
    <t>Taxes &amp; Fringe</t>
  </si>
  <si>
    <t>EHS Benchmark Based off FY20 MA Comptroller</t>
  </si>
  <si>
    <t>Staff Mileage / Travel</t>
  </si>
  <si>
    <t xml:space="preserve">Program Supplies &amp; Materials </t>
  </si>
  <si>
    <t>Amin Allocation</t>
  </si>
  <si>
    <t xml:space="preserve">Original benchmark </t>
  </si>
  <si>
    <t>Direct Amin Expenses</t>
  </si>
  <si>
    <t>Original expense plus CAFs</t>
  </si>
  <si>
    <t>Total Reimb excl M&amp;G</t>
  </si>
  <si>
    <t>FY21 CAF</t>
  </si>
  <si>
    <t>IHS Markit, Fall 2019 Forecast Proj.period FY21 &amp; FY22</t>
  </si>
  <si>
    <t xml:space="preserve">Other Expenses </t>
  </si>
  <si>
    <t>Admin. Allocation</t>
  </si>
  <si>
    <t>Consultant / Clinical</t>
  </si>
  <si>
    <t>Caregiver administration</t>
  </si>
  <si>
    <t>Caregiver Administration</t>
  </si>
  <si>
    <t>Wtg Average of Stipends (includes CAF)</t>
  </si>
  <si>
    <t>TOTAL</t>
  </si>
  <si>
    <t>CAF:</t>
  </si>
  <si>
    <t xml:space="preserve"> DDS total other program expense. DDS determined zero allotment for levels A and B. - incorporated previous CAFs into leve C</t>
  </si>
  <si>
    <t>Rate with CAF</t>
  </si>
  <si>
    <t>A = 2 weeks; B= 3weeks; C = 5 weeks respite relief</t>
  </si>
  <si>
    <t>RATE:</t>
  </si>
  <si>
    <t>Utilization Rate:</t>
  </si>
  <si>
    <t xml:space="preserve">  </t>
  </si>
  <si>
    <t>Add on rates- Effective 7/1/20- 6/30/22</t>
  </si>
  <si>
    <t>Clinical w/Independent Lic</t>
  </si>
  <si>
    <t>BLS /OES Massachusetts Median 2018</t>
  </si>
  <si>
    <t>Commonwealth FY20 Rate</t>
  </si>
  <si>
    <t>Total Tax &amp; Fringe</t>
  </si>
  <si>
    <t>Subtotal Compensation</t>
  </si>
  <si>
    <t>PFMLA</t>
  </si>
  <si>
    <t>TOTAL COMPENSATION</t>
  </si>
  <si>
    <t>Billable Hours</t>
  </si>
  <si>
    <t>Proposed FY21 Rates</t>
  </si>
  <si>
    <t>Direct Care Productivity Chart</t>
  </si>
  <si>
    <t>Nursing / Clinical Staff Productivity Chart</t>
  </si>
  <si>
    <t>Vacation / Sick / Personal (PTO)</t>
  </si>
  <si>
    <t>Training (not OJT)</t>
  </si>
  <si>
    <t>Travel / Admin / Supervision / Training / Misc</t>
  </si>
  <si>
    <t>Daily Stipend Rate Effective FY21</t>
  </si>
  <si>
    <t>Stipend Level Effective FY21</t>
  </si>
  <si>
    <t>Stipend Rates</t>
  </si>
  <si>
    <t>Per Diem Rate</t>
  </si>
  <si>
    <t>Per Diem Rate with 95% Utilization</t>
  </si>
  <si>
    <t xml:space="preserve">Proposed Per Diem Rate with 95% Utilization &amp; CAF
</t>
  </si>
  <si>
    <t>RateShortName</t>
  </si>
  <si>
    <t>Unit</t>
  </si>
  <si>
    <t>Units Billed</t>
  </si>
  <si>
    <t>Expenditure</t>
  </si>
  <si>
    <t xml:space="preserve">Operational Level A Stipend Eligibility  Range </t>
  </si>
  <si>
    <t>Stipend Rate - 01</t>
  </si>
  <si>
    <t>Day</t>
  </si>
  <si>
    <t xml:space="preserve">Operational Level B Stipend Eligibility  Range </t>
  </si>
  <si>
    <t>Stipend Rate - 02</t>
  </si>
  <si>
    <t xml:space="preserve">Operational Level C Stipend Eligibility  Range </t>
  </si>
  <si>
    <t>Stipend Rate - 03</t>
  </si>
  <si>
    <t>Stipend Rate - 04</t>
  </si>
  <si>
    <t>Stipend Rate - 05</t>
  </si>
  <si>
    <t>Stipend Rate - 06</t>
  </si>
  <si>
    <t>Stipend Rate - 07</t>
  </si>
  <si>
    <t>Stipend Rate - 08</t>
  </si>
  <si>
    <t>Stipend Rate - 09</t>
  </si>
  <si>
    <t>Stipend Rate - 10</t>
  </si>
  <si>
    <t>Stipend Rate - 11</t>
  </si>
  <si>
    <t>Stipend Rate - 12</t>
  </si>
  <si>
    <t>Stipend Rate - 13</t>
  </si>
  <si>
    <t>Stipend Rate - 14</t>
  </si>
  <si>
    <t>Stipend Rate - 15</t>
  </si>
  <si>
    <t>Stipend Rate - 16</t>
  </si>
  <si>
    <t>Stipend Rate - 17</t>
  </si>
  <si>
    <t>Stipend Rate - 18</t>
  </si>
  <si>
    <t>Stipend Rate - 19</t>
  </si>
  <si>
    <t>Stipend Rate - 20</t>
  </si>
  <si>
    <t>Stipend Rate - 21</t>
  </si>
  <si>
    <t>Stipend Rate - 23</t>
  </si>
  <si>
    <t>Stipend Rate - 24</t>
  </si>
  <si>
    <t>Stipend Rate Exceptions</t>
  </si>
  <si>
    <t>Total Billed</t>
  </si>
  <si>
    <t>Grandfather exception</t>
  </si>
  <si>
    <t>Totals:</t>
  </si>
  <si>
    <t xml:space="preserve">Fiscal Impact </t>
  </si>
  <si>
    <t>Massachusetts Economic Indicators</t>
  </si>
  <si>
    <t>IHS Markit, Fall 2019 Forecast</t>
  </si>
  <si>
    <t>Prepared by Michael Lynch, 781-301-9129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</si>
  <si>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</si>
  <si>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</si>
  <si>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</si>
  <si>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</si>
  <si>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</si>
  <si>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</si>
  <si>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</si>
  <si>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</si>
  <si>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</si>
  <si>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</si>
  <si>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</si>
  <si>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</si>
  <si>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</si>
  <si>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</si>
  <si>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</si>
  <si>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</si>
  <si>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</si>
  <si>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</si>
  <si>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</si>
  <si>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</si>
  <si>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</si>
  <si>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</si>
  <si>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</si>
  <si>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</si>
  <si>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</si>
  <si>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</si>
  <si>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</si>
  <si>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</si>
  <si>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</si>
  <si>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</si>
  <si>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</si>
  <si>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</si>
  <si>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</si>
  <si>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</si>
  <si>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</si>
  <si>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</si>
  <si>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</si>
  <si>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</si>
  <si>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</si>
  <si>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</si>
  <si>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</si>
  <si>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</si>
  <si>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</si>
  <si>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</si>
  <si>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</si>
  <si>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</si>
  <si>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</si>
  <si>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</si>
  <si>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</si>
  <si>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</si>
  <si>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</si>
  <si>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</si>
  <si>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</si>
  <si>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</si>
  <si>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</si>
  <si>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</si>
  <si>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</si>
  <si>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</si>
  <si>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</si>
  <si>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</si>
  <si>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</si>
  <si>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</si>
  <si>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</si>
  <si>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</si>
  <si>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</si>
  <si>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</si>
  <si>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</si>
  <si>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</si>
  <si>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</si>
  <si>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</si>
  <si>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</si>
  <si>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</si>
  <si>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</si>
  <si>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</si>
  <si>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</si>
  <si>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</si>
  <si>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</si>
  <si>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</si>
  <si>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</si>
  <si>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</si>
  <si>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</si>
  <si>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</si>
  <si>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</si>
  <si>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</si>
  <si>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</si>
  <si>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</si>
  <si>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</si>
  <si>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</si>
  <si>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</si>
  <si>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</si>
  <si>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</si>
  <si>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</si>
  <si>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</si>
  <si>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</si>
  <si>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</si>
  <si>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</si>
  <si>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</si>
  <si>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</si>
  <si>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2020</t>
  </si>
  <si>
    <t xml:space="preserve">Base period: </t>
  </si>
  <si>
    <t>FY20Q4</t>
  </si>
  <si>
    <t>(Fiscal year: Oct-Dec)</t>
  </si>
  <si>
    <t>(Quarter before)</t>
  </si>
  <si>
    <t>Average</t>
  </si>
  <si>
    <t xml:space="preserve">Prospective rate period: </t>
  </si>
  <si>
    <t>7/1/20 - 6/30/22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</si>
</sst>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;\(&quot;$&quot;#,##0\)"/>
    <numFmt numFmtId="169" formatCode="\$#,##0"/>
    <numFmt numFmtId="170" formatCode="0.0"/>
    <numFmt numFmtId="171" formatCode="#,##0.000"/>
    <numFmt numFmtId="172" formatCode="\$#,##0.00"/>
    <numFmt numFmtId="173" formatCode="#,##0.0"/>
    <numFmt numFmtId="174" formatCode="0.000"/>
    <numFmt numFmtId="175" formatCode="0.00000%"/>
    <numFmt numFmtId="176" formatCode="0.0%"/>
    <numFmt numFmtId="177" formatCode="&quot;$&quot;#,##0.0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2"/>
      <color indexed="3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20"/>
      <color theme="0"/>
      <name val="Calibri"/>
      <family val="2"/>
    </font>
    <font>
      <sz val="9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u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indexed="62"/>
      <name val="Calibri"/>
      <family val="2"/>
      <scheme val="minor"/>
    </font>
    <font>
      <sz val="12"/>
      <color theme="0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sz val="14"/>
      <color indexed="9"/>
      <name val="Calibri"/>
      <family val="2"/>
      <scheme val="minor"/>
    </font>
    <font>
      <b/>
      <sz val="12"/>
      <name val="Times New Roman"/>
      <family val="1"/>
    </font>
    <font>
      <sz val="14"/>
      <color indexed="8"/>
      <name val="Arial"/>
      <family val="2"/>
    </font>
    <font>
      <sz val="12"/>
      <color indexed="17"/>
      <name val="Calibri"/>
      <family val="2"/>
      <scheme val="minor"/>
    </font>
    <font>
      <sz val="14"/>
      <color indexed="10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1"/>
      <color rgb="FFFF0000"/>
      <name val="Arial"/>
      <family val="2"/>
    </font>
    <font>
      <sz val="14"/>
      <color indexed="17"/>
      <name val="Calibri"/>
      <family val="2"/>
      <scheme val="minor"/>
    </font>
    <font>
      <sz val="10"/>
      <color rgb="FFFF0000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62"/>
      <name val="Arial"/>
      <family val="2"/>
    </font>
    <font>
      <u/>
      <sz val="12"/>
      <color indexed="8"/>
      <name val="Calibri"/>
      <family val="2"/>
      <scheme val="minor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u/>
      <sz val="10"/>
      <color indexed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6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Calibri"/>
      <family val="2"/>
    </font>
    <font>
      <b/>
      <u/>
      <sz val="12"/>
      <color indexed="8"/>
      <name val="Arial"/>
      <family val="2"/>
    </font>
    <font>
      <sz val="14"/>
      <color indexed="8"/>
      <name val="Times New Roman"/>
      <family val="1"/>
    </font>
    <font>
      <sz val="12"/>
      <color indexed="62"/>
      <name val="Arial"/>
      <family val="2"/>
    </font>
    <font>
      <sz val="12"/>
      <color theme="1"/>
      <name val="Calibri"/>
      <family val="2"/>
    </font>
    <font>
      <b/>
      <u/>
      <sz val="12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i/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7030A0"/>
      <name val="Calibri"/>
      <family val="2"/>
    </font>
    <font>
      <b/>
      <sz val="11"/>
      <color rgb="FF7030A0"/>
      <name val="Calibri"/>
      <family val="2"/>
    </font>
    <font>
      <i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rgb="FFFF0000"/>
      </right>
      <top style="thin">
        <color rgb="FFFF0000"/>
      </top>
      <bottom/>
      <diagonal/>
    </border>
    <border>
      <left style="medium">
        <color indexed="64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301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44" fontId="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2" fillId="10" borderId="0" applyNumberFormat="0" applyBorder="0" applyAlignment="0" applyProtection="0"/>
    <xf numFmtId="0" fontId="11" fillId="21" borderId="0" applyNumberFormat="0" applyBorder="0" applyAlignment="0" applyProtection="0"/>
    <xf numFmtId="0" fontId="13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3" fillId="7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12" borderId="0" applyNumberFormat="0" applyBorder="0" applyAlignment="0" applyProtection="0"/>
    <xf numFmtId="0" fontId="3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5" applyNumberFormat="0" applyFont="0" applyProtection="0">
      <alignment wrapText="1"/>
    </xf>
    <xf numFmtId="0" fontId="17" fillId="28" borderId="16" applyNumberFormat="0" applyAlignment="0" applyProtection="0"/>
    <xf numFmtId="0" fontId="18" fillId="29" borderId="17" applyNumberFormat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18" applyNumberFormat="0" applyProtection="0">
      <alignment wrapText="1"/>
    </xf>
    <xf numFmtId="0" fontId="2" fillId="2" borderId="0" applyNumberFormat="0" applyBorder="0" applyAlignment="0" applyProtection="0"/>
    <xf numFmtId="0" fontId="23" fillId="0" borderId="19" applyNumberFormat="0" applyProtection="0">
      <alignment wrapText="1"/>
    </xf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8" borderId="16" applyNumberFormat="0" applyAlignment="0" applyProtection="0"/>
    <xf numFmtId="0" fontId="29" fillId="0" borderId="23" applyNumberFormat="0" applyFill="0" applyAlignment="0" applyProtection="0"/>
    <xf numFmtId="0" fontId="30" fillId="30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1" fillId="0" borderId="0"/>
    <xf numFmtId="0" fontId="19" fillId="0" borderId="0"/>
    <xf numFmtId="0" fontId="19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0" fontId="19" fillId="0" borderId="0"/>
    <xf numFmtId="0" fontId="1" fillId="0" borderId="0"/>
    <xf numFmtId="0" fontId="19" fillId="0" borderId="0"/>
    <xf numFmtId="0" fontId="21" fillId="0" borderId="0">
      <alignment vertical="top"/>
    </xf>
    <xf numFmtId="0" fontId="31" fillId="0" borderId="0"/>
    <xf numFmtId="0" fontId="1" fillId="0" borderId="0"/>
    <xf numFmtId="0" fontId="12" fillId="0" borderId="0"/>
    <xf numFmtId="0" fontId="19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" fillId="5" borderId="2" applyNumberFormat="0" applyFont="0" applyAlignment="0" applyProtection="0"/>
    <xf numFmtId="0" fontId="19" fillId="31" borderId="24" applyNumberFormat="0" applyFont="0" applyAlignment="0" applyProtection="0"/>
    <xf numFmtId="0" fontId="32" fillId="28" borderId="25" applyNumberFormat="0" applyAlignment="0" applyProtection="0"/>
    <xf numFmtId="0" fontId="23" fillId="0" borderId="26" applyNumberFormat="0" applyProtection="0">
      <alignment wrapText="1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4" fillId="0" borderId="0" applyNumberFormat="0" applyProtection="0">
      <alignment horizontal="left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3" fillId="51" borderId="141" applyNumberFormat="0" applyAlignment="0" applyProtection="0"/>
    <xf numFmtId="0" fontId="17" fillId="28" borderId="16" applyNumberFormat="0" applyAlignment="0" applyProtection="0"/>
    <xf numFmtId="0" fontId="17" fillId="28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9" fillId="0" borderId="137" applyNumberFormat="0" applyFill="0" applyAlignment="0" applyProtection="0"/>
    <xf numFmtId="0" fontId="24" fillId="0" borderId="20" applyNumberFormat="0" applyFill="0" applyAlignment="0" applyProtection="0"/>
    <xf numFmtId="0" fontId="140" fillId="0" borderId="138" applyNumberFormat="0" applyFill="0" applyAlignment="0" applyProtection="0"/>
    <xf numFmtId="0" fontId="25" fillId="0" borderId="21" applyNumberFormat="0" applyFill="0" applyAlignment="0" applyProtection="0"/>
    <xf numFmtId="0" fontId="141" fillId="0" borderId="139" applyNumberFormat="0" applyFill="0" applyAlignment="0" applyProtection="0"/>
    <xf numFmtId="0" fontId="26" fillId="0" borderId="22" applyNumberFormat="0" applyFill="0" applyAlignment="0" applyProtection="0"/>
    <xf numFmtId="0" fontId="1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8" borderId="16" applyNumberFormat="0" applyAlignment="0" applyProtection="0"/>
    <xf numFmtId="0" fontId="28" fillId="18" borderId="16" applyNumberFormat="0" applyAlignment="0" applyProtection="0"/>
    <xf numFmtId="0" fontId="142" fillId="0" borderId="140" applyNumberFormat="0" applyFill="0" applyAlignment="0" applyProtection="0"/>
    <xf numFmtId="0" fontId="29" fillId="0" borderId="23" applyNumberFormat="0" applyFill="0" applyAlignment="0" applyProtection="0"/>
    <xf numFmtId="0" fontId="1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31" borderId="24" applyNumberFormat="0" applyFont="0" applyAlignment="0" applyProtection="0"/>
    <xf numFmtId="0" fontId="32" fillId="28" borderId="25" applyNumberFormat="0" applyAlignment="0" applyProtection="0"/>
    <xf numFmtId="0" fontId="32" fillId="28" borderId="25" applyNumberFormat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142" applyNumberFormat="0" applyFill="0" applyAlignment="0" applyProtection="0"/>
    <xf numFmtId="0" fontId="36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/>
  </cellStyleXfs>
  <cellXfs count="183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/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3" xfId="0" applyFont="1" applyBorder="1"/>
    <xf numFmtId="164" fontId="8" fillId="0" borderId="4" xfId="0" applyNumberFormat="1" applyFont="1" applyBorder="1" applyAlignment="1">
      <alignment horizontal="center"/>
    </xf>
    <xf numFmtId="0" fontId="8" fillId="0" borderId="5" xfId="0" applyFont="1" applyBorder="1"/>
    <xf numFmtId="164" fontId="0" fillId="0" borderId="7" xfId="0" applyNumberFormat="1" applyBorder="1"/>
    <xf numFmtId="164" fontId="0" fillId="0" borderId="0" xfId="0" applyNumberFormat="1"/>
    <xf numFmtId="0" fontId="8" fillId="0" borderId="8" xfId="0" applyFont="1" applyBorder="1"/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165" fontId="0" fillId="0" borderId="11" xfId="0" applyNumberFormat="1" applyBorder="1"/>
    <xf numFmtId="0" fontId="8" fillId="0" borderId="12" xfId="0" applyFont="1" applyBorder="1"/>
    <xf numFmtId="165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5" xfId="0" applyFont="1" applyFill="1" applyBorder="1"/>
    <xf numFmtId="164" fontId="5" fillId="0" borderId="0" xfId="0" applyNumberFormat="1" applyFont="1"/>
    <xf numFmtId="0" fontId="8" fillId="0" borderId="8" xfId="0" applyFont="1" applyBorder="1" applyAlignment="1">
      <alignment wrapText="1"/>
    </xf>
    <xf numFmtId="164" fontId="0" fillId="0" borderId="14" xfId="0" applyNumberFormat="1" applyBorder="1"/>
    <xf numFmtId="166" fontId="8" fillId="0" borderId="0" xfId="4" applyNumberFormat="1" applyFont="1"/>
    <xf numFmtId="0" fontId="10" fillId="0" borderId="0" xfId="0" applyFont="1"/>
    <xf numFmtId="0" fontId="0" fillId="0" borderId="0" xfId="0" applyAlignment="1">
      <alignment wrapText="1"/>
    </xf>
    <xf numFmtId="0" fontId="8" fillId="0" borderId="0" xfId="0" applyFont="1" applyFill="1"/>
    <xf numFmtId="10" fontId="8" fillId="0" borderId="0" xfId="0" applyNumberFormat="1" applyFont="1"/>
    <xf numFmtId="0" fontId="38" fillId="32" borderId="0" xfId="0" applyFont="1" applyFill="1" applyAlignment="1"/>
    <xf numFmtId="0" fontId="38" fillId="32" borderId="28" xfId="0" applyFont="1" applyFill="1" applyBorder="1" applyAlignment="1"/>
    <xf numFmtId="0" fontId="11" fillId="33" borderId="29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wrapText="1"/>
    </xf>
    <xf numFmtId="44" fontId="0" fillId="0" borderId="0" xfId="0" applyNumberFormat="1"/>
    <xf numFmtId="10" fontId="0" fillId="0" borderId="0" xfId="0" applyNumberFormat="1"/>
    <xf numFmtId="166" fontId="0" fillId="0" borderId="0" xfId="84" applyNumberFormat="1" applyFont="1"/>
    <xf numFmtId="164" fontId="0" fillId="0" borderId="0" xfId="0" applyNumberFormat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39" fillId="0" borderId="0" xfId="0" applyFont="1" applyFill="1" applyBorder="1"/>
    <xf numFmtId="0" fontId="39" fillId="0" borderId="0" xfId="0" applyFont="1"/>
    <xf numFmtId="166" fontId="39" fillId="0" borderId="0" xfId="55" applyNumberFormat="1" applyFont="1"/>
    <xf numFmtId="166" fontId="0" fillId="0" borderId="0" xfId="55" applyNumberFormat="1" applyFont="1"/>
    <xf numFmtId="10" fontId="39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41" fillId="0" borderId="0" xfId="0" applyFont="1" applyAlignment="1">
      <alignment wrapText="1"/>
    </xf>
    <xf numFmtId="0" fontId="42" fillId="37" borderId="34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/>
    </xf>
    <xf numFmtId="0" fontId="42" fillId="37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8" borderId="35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vertical="center" wrapText="1"/>
    </xf>
    <xf numFmtId="0" fontId="11" fillId="38" borderId="29" xfId="0" applyFont="1" applyFill="1" applyBorder="1" applyAlignment="1">
      <alignment horizontal="center" vertical="center"/>
    </xf>
    <xf numFmtId="0" fontId="0" fillId="38" borderId="0" xfId="0" applyFill="1" applyAlignment="1">
      <alignment wrapText="1"/>
    </xf>
    <xf numFmtId="166" fontId="0" fillId="38" borderId="0" xfId="84" applyNumberFormat="1" applyFont="1" applyFill="1"/>
    <xf numFmtId="0" fontId="0" fillId="38" borderId="0" xfId="0" applyFill="1"/>
    <xf numFmtId="0" fontId="41" fillId="38" borderId="0" xfId="0" applyFont="1" applyFill="1" applyAlignment="1">
      <alignment wrapText="1"/>
    </xf>
    <xf numFmtId="164" fontId="11" fillId="38" borderId="35" xfId="0" applyNumberFormat="1" applyFont="1" applyFill="1" applyBorder="1" applyAlignment="1">
      <alignment horizontal="center" vertical="center" wrapText="1"/>
    </xf>
    <xf numFmtId="164" fontId="11" fillId="38" borderId="36" xfId="0" applyNumberFormat="1" applyFont="1" applyFill="1" applyBorder="1" applyAlignment="1">
      <alignment horizontal="center" vertical="center" wrapText="1"/>
    </xf>
    <xf numFmtId="164" fontId="11" fillId="38" borderId="37" xfId="0" applyNumberFormat="1" applyFont="1" applyFill="1" applyBorder="1" applyAlignment="1">
      <alignment horizontal="center" vertical="center"/>
    </xf>
    <xf numFmtId="167" fontId="11" fillId="0" borderId="0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6" fontId="0" fillId="0" borderId="0" xfId="55" applyNumberFormat="1" applyFont="1" applyAlignment="1">
      <alignment wrapText="1"/>
    </xf>
    <xf numFmtId="0" fontId="11" fillId="0" borderId="34" xfId="0" applyFont="1" applyFill="1" applyBorder="1" applyAlignment="1">
      <alignment horizontal="center" vertical="center" wrapText="1"/>
    </xf>
    <xf numFmtId="44" fontId="11" fillId="0" borderId="34" xfId="0" applyNumberFormat="1" applyFont="1" applyFill="1" applyBorder="1" applyAlignment="1">
      <alignment horizontal="center" vertical="center"/>
    </xf>
    <xf numFmtId="44" fontId="11" fillId="0" borderId="34" xfId="0" applyNumberFormat="1" applyFont="1" applyFill="1" applyBorder="1"/>
    <xf numFmtId="0" fontId="11" fillId="0" borderId="38" xfId="0" applyFont="1" applyFill="1" applyBorder="1" applyAlignment="1">
      <alignment horizontal="center" vertical="center" wrapText="1"/>
    </xf>
    <xf numFmtId="44" fontId="11" fillId="0" borderId="31" xfId="0" applyNumberFormat="1" applyFont="1" applyFill="1" applyBorder="1"/>
    <xf numFmtId="44" fontId="0" fillId="36" borderId="38" xfId="0" applyNumberFormat="1" applyFill="1" applyBorder="1" applyAlignment="1">
      <alignment horizontal="center"/>
    </xf>
    <xf numFmtId="44" fontId="0" fillId="36" borderId="34" xfId="0" applyNumberFormat="1" applyFill="1" applyBorder="1" applyAlignment="1">
      <alignment horizontal="center"/>
    </xf>
    <xf numFmtId="44" fontId="0" fillId="36" borderId="31" xfId="0" applyNumberFormat="1" applyFill="1" applyBorder="1" applyAlignment="1">
      <alignment horizontal="center"/>
    </xf>
    <xf numFmtId="44" fontId="0" fillId="0" borderId="34" xfId="0" applyNumberFormat="1" applyFill="1" applyBorder="1" applyAlignment="1">
      <alignment horizontal="center" wrapText="1"/>
    </xf>
    <xf numFmtId="164" fontId="0" fillId="0" borderId="34" xfId="0" applyNumberFormat="1" applyBorder="1" applyAlignment="1">
      <alignment horizontal="center"/>
    </xf>
    <xf numFmtId="10" fontId="0" fillId="0" borderId="0" xfId="193" applyNumberFormat="1" applyFont="1"/>
    <xf numFmtId="164" fontId="0" fillId="0" borderId="34" xfId="0" applyNumberFormat="1" applyFill="1" applyBorder="1" applyAlignment="1">
      <alignment horizontal="center" wrapText="1"/>
    </xf>
    <xf numFmtId="164" fontId="0" fillId="0" borderId="34" xfId="0" applyNumberFormat="1" applyFill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0" fontId="0" fillId="0" borderId="0" xfId="173" applyNumberFormat="1" applyFont="1" applyFill="1" applyBorder="1"/>
    <xf numFmtId="44" fontId="0" fillId="0" borderId="38" xfId="0" applyNumberFormat="1" applyFill="1" applyBorder="1" applyAlignment="1">
      <alignment horizontal="center"/>
    </xf>
    <xf numFmtId="166" fontId="0" fillId="0" borderId="0" xfId="0" applyNumberFormat="1"/>
    <xf numFmtId="44" fontId="0" fillId="0" borderId="34" xfId="0" applyNumberFormat="1" applyFill="1" applyBorder="1" applyAlignment="1">
      <alignment horizontal="center"/>
    </xf>
    <xf numFmtId="44" fontId="0" fillId="0" borderId="31" xfId="0" applyNumberFormat="1" applyFill="1" applyBorder="1" applyAlignment="1">
      <alignment horizontal="center"/>
    </xf>
    <xf numFmtId="10" fontId="0" fillId="0" borderId="0" xfId="193" applyNumberFormat="1" applyFont="1" applyFill="1"/>
    <xf numFmtId="166" fontId="0" fillId="0" borderId="0" xfId="84" applyNumberFormat="1" applyFont="1" applyFill="1"/>
    <xf numFmtId="166" fontId="0" fillId="0" borderId="0" xfId="0" applyNumberFormat="1" applyFill="1"/>
    <xf numFmtId="8" fontId="11" fillId="0" borderId="34" xfId="0" applyNumberFormat="1" applyFont="1" applyFill="1" applyBorder="1"/>
    <xf numFmtId="9" fontId="0" fillId="0" borderId="0" xfId="193" applyFont="1"/>
    <xf numFmtId="0" fontId="43" fillId="0" borderId="38" xfId="0" applyFont="1" applyFill="1" applyBorder="1" applyAlignment="1">
      <alignment horizontal="center" vertical="center" wrapText="1"/>
    </xf>
    <xf numFmtId="166" fontId="41" fillId="0" borderId="0" xfId="84" applyNumberFormat="1" applyFont="1"/>
    <xf numFmtId="0" fontId="42" fillId="37" borderId="38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 vertical="center"/>
    </xf>
    <xf numFmtId="0" fontId="11" fillId="38" borderId="39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center" vertical="center" wrapText="1"/>
    </xf>
    <xf numFmtId="0" fontId="11" fillId="38" borderId="41" xfId="0" applyFont="1" applyFill="1" applyBorder="1" applyAlignment="1">
      <alignment horizontal="center" vertical="center"/>
    </xf>
    <xf numFmtId="164" fontId="0" fillId="38" borderId="40" xfId="0" applyNumberFormat="1" applyFill="1" applyBorder="1" applyAlignment="1">
      <alignment horizontal="center"/>
    </xf>
    <xf numFmtId="0" fontId="11" fillId="38" borderId="42" xfId="0" applyFont="1" applyFill="1" applyBorder="1" applyAlignment="1">
      <alignment horizontal="center" vertical="center"/>
    </xf>
    <xf numFmtId="44" fontId="0" fillId="0" borderId="31" xfId="0" applyNumberFormat="1" applyFill="1" applyBorder="1"/>
    <xf numFmtId="166" fontId="0" fillId="0" borderId="0" xfId="55" applyNumberFormat="1" applyFont="1" applyBorder="1"/>
    <xf numFmtId="0" fontId="42" fillId="37" borderId="34" xfId="0" applyFont="1" applyFill="1" applyBorder="1" applyAlignment="1">
      <alignment horizontal="center" vertical="center" wrapText="1"/>
    </xf>
    <xf numFmtId="0" fontId="42" fillId="37" borderId="3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10" fontId="0" fillId="39" borderId="0" xfId="173" applyNumberFormat="1" applyFont="1" applyFill="1" applyBorder="1"/>
    <xf numFmtId="10" fontId="0" fillId="0" borderId="0" xfId="173" applyNumberFormat="1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43" xfId="0" applyBorder="1"/>
    <xf numFmtId="10" fontId="0" fillId="0" borderId="0" xfId="0" applyNumberFormat="1" applyFill="1" applyBorder="1"/>
    <xf numFmtId="164" fontId="0" fillId="0" borderId="0" xfId="0" applyNumberFormat="1" applyFill="1" applyAlignment="1">
      <alignment horizontal="center"/>
    </xf>
    <xf numFmtId="164" fontId="49" fillId="0" borderId="0" xfId="0" applyNumberFormat="1" applyFont="1" applyFill="1" applyAlignment="1">
      <alignment horizontal="center"/>
    </xf>
    <xf numFmtId="10" fontId="50" fillId="0" borderId="0" xfId="173" applyNumberFormat="1" applyFont="1"/>
    <xf numFmtId="0" fontId="51" fillId="38" borderId="34" xfId="0" applyFont="1" applyFill="1" applyBorder="1" applyAlignment="1">
      <alignment horizontal="center"/>
    </xf>
    <xf numFmtId="0" fontId="51" fillId="38" borderId="34" xfId="0" applyFont="1" applyFill="1" applyBorder="1" applyAlignment="1">
      <alignment horizontal="center" wrapText="1"/>
    </xf>
    <xf numFmtId="164" fontId="51" fillId="38" borderId="34" xfId="0" applyNumberFormat="1" applyFont="1" applyFill="1" applyBorder="1" applyAlignment="1">
      <alignment horizontal="center"/>
    </xf>
    <xf numFmtId="164" fontId="6" fillId="38" borderId="34" xfId="0" applyNumberFormat="1" applyFont="1" applyFill="1" applyBorder="1" applyAlignment="1">
      <alignment horizontal="center"/>
    </xf>
    <xf numFmtId="164" fontId="6" fillId="0" borderId="34" xfId="0" applyNumberFormat="1" applyFont="1" applyFill="1" applyBorder="1"/>
    <xf numFmtId="0" fontId="0" fillId="38" borderId="34" xfId="0" applyFill="1" applyBorder="1"/>
    <xf numFmtId="5" fontId="0" fillId="38" borderId="34" xfId="4" applyNumberFormat="1" applyFont="1" applyFill="1" applyBorder="1" applyAlignment="1">
      <alignment horizontal="center" vertical="center" wrapText="1"/>
    </xf>
    <xf numFmtId="0" fontId="0" fillId="38" borderId="34" xfId="0" applyFill="1" applyBorder="1" applyAlignment="1">
      <alignment wrapText="1"/>
    </xf>
    <xf numFmtId="164" fontId="0" fillId="38" borderId="34" xfId="0" applyNumberFormat="1" applyFill="1" applyBorder="1" applyAlignment="1">
      <alignment horizontal="center" wrapText="1"/>
    </xf>
    <xf numFmtId="164" fontId="0" fillId="38" borderId="34" xfId="0" applyNumberFormat="1" applyFill="1" applyBorder="1"/>
    <xf numFmtId="164" fontId="0" fillId="0" borderId="34" xfId="0" applyNumberFormat="1" applyFill="1" applyBorder="1"/>
    <xf numFmtId="0" fontId="0" fillId="0" borderId="44" xfId="0" applyBorder="1" applyAlignment="1">
      <alignment horizontal="left"/>
    </xf>
    <xf numFmtId="5" fontId="1" fillId="0" borderId="34" xfId="4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0" fontId="0" fillId="0" borderId="34" xfId="0" applyNumberFormat="1" applyFill="1" applyBorder="1" applyAlignment="1">
      <alignment horizontal="center" wrapText="1"/>
    </xf>
    <xf numFmtId="44" fontId="0" fillId="0" borderId="0" xfId="55" applyNumberFormat="1" applyFont="1"/>
    <xf numFmtId="0" fontId="0" fillId="0" borderId="46" xfId="0" applyBorder="1" applyAlignment="1">
      <alignment horizontal="left"/>
    </xf>
    <xf numFmtId="5" fontId="0" fillId="0" borderId="34" xfId="4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51" fillId="38" borderId="34" xfId="0" applyFont="1" applyFill="1" applyBorder="1" applyAlignment="1">
      <alignment horizontal="left" vertical="top" wrapText="1"/>
    </xf>
    <xf numFmtId="165" fontId="0" fillId="38" borderId="34" xfId="0" applyNumberFormat="1" applyFill="1" applyBorder="1" applyAlignment="1">
      <alignment horizontal="center" vertical="center" wrapText="1"/>
    </xf>
    <xf numFmtId="164" fontId="0" fillId="38" borderId="34" xfId="0" applyNumberFormat="1" applyFill="1" applyBorder="1" applyAlignment="1">
      <alignment horizontal="center" vertical="center" wrapText="1"/>
    </xf>
    <xf numFmtId="164" fontId="0" fillId="38" borderId="34" xfId="0" applyNumberFormat="1" applyFill="1" applyBorder="1" applyAlignment="1">
      <alignment horizontal="center"/>
    </xf>
    <xf numFmtId="10" fontId="0" fillId="38" borderId="34" xfId="0" applyNumberFormat="1" applyFill="1" applyBorder="1" applyAlignment="1">
      <alignment horizontal="center"/>
    </xf>
    <xf numFmtId="0" fontId="0" fillId="0" borderId="46" xfId="0" applyBorder="1"/>
    <xf numFmtId="10" fontId="0" fillId="0" borderId="34" xfId="173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5" fontId="0" fillId="0" borderId="34" xfId="4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10" fontId="0" fillId="0" borderId="34" xfId="0" applyNumberFormat="1" applyFill="1" applyBorder="1" applyAlignment="1">
      <alignment horizontal="center"/>
    </xf>
    <xf numFmtId="0" fontId="52" fillId="38" borderId="34" xfId="0" applyFont="1" applyFill="1" applyBorder="1" applyAlignment="1">
      <alignment horizontal="center"/>
    </xf>
    <xf numFmtId="0" fontId="0" fillId="38" borderId="34" xfId="0" applyFill="1" applyBorder="1" applyAlignment="1">
      <alignment horizontal="center" vertical="center" wrapText="1"/>
    </xf>
    <xf numFmtId="10" fontId="0" fillId="0" borderId="34" xfId="0" applyNumberFormat="1" applyFill="1" applyBorder="1" applyAlignment="1">
      <alignment horizontal="center" vertical="center" wrapText="1"/>
    </xf>
    <xf numFmtId="0" fontId="0" fillId="0" borderId="47" xfId="0" applyBorder="1" applyAlignment="1">
      <alignment horizontal="left"/>
    </xf>
    <xf numFmtId="0" fontId="0" fillId="38" borderId="34" xfId="0" applyFill="1" applyBorder="1" applyAlignment="1">
      <alignment horizontal="left" wrapText="1"/>
    </xf>
    <xf numFmtId="0" fontId="0" fillId="38" borderId="40" xfId="0" applyFill="1" applyBorder="1" applyAlignment="1">
      <alignment horizontal="center"/>
    </xf>
    <xf numFmtId="0" fontId="0" fillId="38" borderId="34" xfId="0" applyFill="1" applyBorder="1" applyAlignment="1">
      <alignment horizontal="left"/>
    </xf>
    <xf numFmtId="164" fontId="0" fillId="0" borderId="44" xfId="0" applyNumberFormat="1" applyFill="1" applyBorder="1" applyAlignment="1">
      <alignment horizontal="center"/>
    </xf>
    <xf numFmtId="6" fontId="0" fillId="41" borderId="34" xfId="0" applyNumberFormat="1" applyFill="1" applyBorder="1" applyAlignment="1">
      <alignment horizontal="center"/>
    </xf>
    <xf numFmtId="5" fontId="0" fillId="41" borderId="34" xfId="4" applyNumberFormat="1" applyFont="1" applyFill="1" applyBorder="1" applyAlignment="1">
      <alignment horizontal="center" vertical="center" wrapText="1"/>
    </xf>
    <xf numFmtId="0" fontId="0" fillId="41" borderId="28" xfId="0" applyFill="1" applyBorder="1" applyAlignment="1">
      <alignment horizontal="center"/>
    </xf>
    <xf numFmtId="10" fontId="0" fillId="41" borderId="34" xfId="0" applyNumberFormat="1" applyFill="1" applyBorder="1" applyAlignment="1">
      <alignment horizontal="center"/>
    </xf>
    <xf numFmtId="0" fontId="51" fillId="38" borderId="34" xfId="0" applyFont="1" applyFill="1" applyBorder="1" applyAlignment="1">
      <alignment horizontal="left" vertical="top"/>
    </xf>
    <xf numFmtId="0" fontId="19" fillId="0" borderId="34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 wrapText="1"/>
    </xf>
    <xf numFmtId="10" fontId="0" fillId="0" borderId="34" xfId="0" applyNumberFormat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0" fontId="0" fillId="38" borderId="34" xfId="0" applyNumberFormat="1" applyFill="1" applyBorder="1" applyAlignment="1">
      <alignment horizontal="center" vertical="center"/>
    </xf>
    <xf numFmtId="3" fontId="1" fillId="0" borderId="34" xfId="4" applyNumberFormat="1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3" fontId="0" fillId="0" borderId="34" xfId="0" applyNumberFormat="1" applyBorder="1" applyAlignment="1">
      <alignment horizontal="center" vertical="center" wrapText="1"/>
    </xf>
    <xf numFmtId="0" fontId="5" fillId="0" borderId="46" xfId="0" applyFont="1" applyBorder="1"/>
    <xf numFmtId="6" fontId="0" fillId="0" borderId="34" xfId="0" applyNumberForma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/>
    </xf>
    <xf numFmtId="0" fontId="54" fillId="38" borderId="34" xfId="0" applyFont="1" applyFill="1" applyBorder="1" applyAlignment="1">
      <alignment horizontal="left" vertical="top"/>
    </xf>
    <xf numFmtId="3" fontId="0" fillId="38" borderId="34" xfId="0" applyNumberFormat="1" applyFill="1" applyBorder="1" applyAlignment="1">
      <alignment wrapText="1"/>
    </xf>
    <xf numFmtId="0" fontId="49" fillId="0" borderId="46" xfId="0" applyFont="1" applyFill="1" applyBorder="1" applyAlignment="1">
      <alignment horizontal="left" vertical="center" wrapText="1"/>
    </xf>
    <xf numFmtId="3" fontId="0" fillId="0" borderId="44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10" fontId="0" fillId="0" borderId="44" xfId="0" applyNumberFormat="1" applyFill="1" applyBorder="1" applyAlignment="1">
      <alignment horizontal="center" vertical="center"/>
    </xf>
    <xf numFmtId="0" fontId="0" fillId="0" borderId="0" xfId="0" applyFill="1"/>
    <xf numFmtId="0" fontId="49" fillId="0" borderId="34" xfId="0" applyFont="1" applyFill="1" applyBorder="1" applyAlignment="1">
      <alignment horizontal="left" vertical="center" wrapText="1"/>
    </xf>
    <xf numFmtId="6" fontId="0" fillId="0" borderId="34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0" fontId="0" fillId="0" borderId="34" xfId="0" applyNumberFormat="1" applyFill="1" applyBorder="1" applyAlignment="1">
      <alignment horizontal="center" vertical="center"/>
    </xf>
    <xf numFmtId="164" fontId="49" fillId="0" borderId="34" xfId="0" applyNumberFormat="1" applyFont="1" applyFill="1" applyBorder="1" applyAlignment="1">
      <alignment horizontal="center"/>
    </xf>
    <xf numFmtId="166" fontId="0" fillId="0" borderId="0" xfId="55" applyNumberFormat="1" applyFont="1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8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/>
    <xf numFmtId="10" fontId="0" fillId="0" borderId="0" xfId="0" applyNumberFormat="1" applyFill="1" applyBorder="1" applyAlignment="1">
      <alignment horizontal="center" vertical="center"/>
    </xf>
    <xf numFmtId="164" fontId="51" fillId="0" borderId="34" xfId="0" applyNumberFormat="1" applyFont="1" applyFill="1" applyBorder="1" applyAlignment="1">
      <alignment horizontal="center"/>
    </xf>
    <xf numFmtId="164" fontId="6" fillId="38" borderId="34" xfId="0" applyNumberFormat="1" applyFont="1" applyFill="1" applyBorder="1"/>
    <xf numFmtId="10" fontId="0" fillId="0" borderId="34" xfId="173" applyNumberFormat="1" applyFont="1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6" fontId="0" fillId="0" borderId="34" xfId="0" applyNumberFormat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10" fontId="0" fillId="0" borderId="34" xfId="173" applyNumberFormat="1" applyFont="1" applyBorder="1" applyAlignment="1">
      <alignment horizontal="center" vertical="center"/>
    </xf>
    <xf numFmtId="10" fontId="0" fillId="0" borderId="0" xfId="173" applyNumberFormat="1" applyFont="1" applyAlignment="1"/>
    <xf numFmtId="166" fontId="0" fillId="0" borderId="0" xfId="55" applyNumberFormat="1" applyFont="1" applyAlignment="1"/>
    <xf numFmtId="8" fontId="0" fillId="0" borderId="34" xfId="0" applyNumberFormat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6" fontId="0" fillId="0" borderId="0" xfId="0" applyNumberFormat="1" applyFill="1" applyBorder="1"/>
    <xf numFmtId="10" fontId="1" fillId="0" borderId="0" xfId="193" applyNumberFormat="1" applyFont="1" applyFill="1" applyBorder="1"/>
    <xf numFmtId="164" fontId="1" fillId="0" borderId="0" xfId="193" applyNumberFormat="1" applyFont="1" applyFill="1" applyBorder="1" applyAlignment="1">
      <alignment horizontal="center"/>
    </xf>
    <xf numFmtId="166" fontId="0" fillId="0" borderId="0" xfId="4" applyNumberFormat="1" applyFont="1" applyFill="1" applyBorder="1"/>
    <xf numFmtId="164" fontId="0" fillId="0" borderId="0" xfId="193" applyNumberFormat="1" applyFont="1" applyFill="1" applyBorder="1"/>
    <xf numFmtId="164" fontId="0" fillId="0" borderId="0" xfId="0" applyNumberFormat="1" applyFill="1" applyBorder="1" applyAlignment="1">
      <alignment horizontal="center"/>
    </xf>
    <xf numFmtId="9" fontId="0" fillId="0" borderId="0" xfId="193" applyFont="1" applyFill="1" applyBorder="1"/>
    <xf numFmtId="0" fontId="6" fillId="0" borderId="0" xfId="0" applyFont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68" fontId="11" fillId="0" borderId="0" xfId="0" applyNumberFormat="1" applyFont="1" applyFill="1" applyBorder="1" applyAlignment="1">
      <alignment horizontal="right" wrapText="1"/>
    </xf>
    <xf numFmtId="0" fontId="56" fillId="0" borderId="0" xfId="121" applyFont="1"/>
    <xf numFmtId="0" fontId="57" fillId="0" borderId="0" xfId="121" applyFont="1" applyFill="1"/>
    <xf numFmtId="0" fontId="19" fillId="0" borderId="0" xfId="121"/>
    <xf numFmtId="0" fontId="58" fillId="0" borderId="0" xfId="121" applyFont="1" applyBorder="1"/>
    <xf numFmtId="0" fontId="59" fillId="0" borderId="0" xfId="121" applyFont="1"/>
    <xf numFmtId="0" fontId="21" fillId="0" borderId="0" xfId="121" applyFont="1"/>
    <xf numFmtId="0" fontId="62" fillId="0" borderId="37" xfId="156" applyFont="1" applyFill="1" applyBorder="1" applyAlignment="1">
      <alignment horizontal="center" vertical="center"/>
    </xf>
    <xf numFmtId="0" fontId="61" fillId="0" borderId="29" xfId="156" applyFont="1" applyFill="1" applyBorder="1" applyAlignment="1">
      <alignment horizontal="center" vertical="center"/>
    </xf>
    <xf numFmtId="0" fontId="61" fillId="0" borderId="47" xfId="121" applyFont="1" applyBorder="1"/>
    <xf numFmtId="0" fontId="10" fillId="0" borderId="0" xfId="0" applyFont="1" applyBorder="1" applyAlignment="1">
      <alignment horizontal="center" wrapText="1"/>
    </xf>
    <xf numFmtId="3" fontId="64" fillId="0" borderId="0" xfId="121" applyNumberFormat="1" applyFont="1" applyBorder="1" applyAlignment="1">
      <alignment wrapText="1"/>
    </xf>
    <xf numFmtId="0" fontId="65" fillId="0" borderId="0" xfId="121" applyFont="1" applyBorder="1" applyAlignment="1">
      <alignment horizontal="center"/>
    </xf>
    <xf numFmtId="0" fontId="66" fillId="0" borderId="8" xfId="0" applyFont="1" applyFill="1" applyBorder="1"/>
    <xf numFmtId="166" fontId="66" fillId="0" borderId="0" xfId="4" applyNumberFormat="1" applyFont="1" applyFill="1" applyBorder="1" applyAlignment="1">
      <alignment horizontal="center"/>
    </xf>
    <xf numFmtId="0" fontId="67" fillId="0" borderId="0" xfId="121" applyFont="1" applyBorder="1"/>
    <xf numFmtId="0" fontId="66" fillId="0" borderId="53" xfId="0" applyFont="1" applyBorder="1" applyAlignment="1">
      <alignment horizontal="left" wrapText="1"/>
    </xf>
    <xf numFmtId="0" fontId="69" fillId="0" borderId="47" xfId="121" applyFont="1" applyBorder="1"/>
    <xf numFmtId="0" fontId="63" fillId="0" borderId="8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121" applyFont="1" applyBorder="1" applyAlignment="1">
      <alignment horizontal="center" wrapText="1"/>
    </xf>
    <xf numFmtId="38" fontId="63" fillId="0" borderId="13" xfId="0" applyNumberFormat="1" applyFont="1" applyFill="1" applyBorder="1" applyAlignment="1">
      <alignment horizontal="center"/>
    </xf>
    <xf numFmtId="38" fontId="63" fillId="0" borderId="0" xfId="0" applyNumberFormat="1" applyFont="1" applyFill="1" applyBorder="1" applyAlignment="1">
      <alignment horizontal="center"/>
    </xf>
    <xf numFmtId="0" fontId="70" fillId="0" borderId="8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121" applyFont="1" applyBorder="1" applyAlignment="1">
      <alignment horizontal="center" wrapText="1"/>
    </xf>
    <xf numFmtId="38" fontId="70" fillId="0" borderId="13" xfId="0" applyNumberFormat="1" applyFont="1" applyFill="1" applyBorder="1" applyAlignment="1">
      <alignment horizontal="center"/>
    </xf>
    <xf numFmtId="0" fontId="72" fillId="0" borderId="0" xfId="121" applyFont="1" applyBorder="1" applyAlignment="1">
      <alignment wrapText="1"/>
    </xf>
    <xf numFmtId="42" fontId="21" fillId="0" borderId="0" xfId="121" applyNumberFormat="1" applyFont="1"/>
    <xf numFmtId="169" fontId="73" fillId="0" borderId="47" xfId="121" applyNumberFormat="1" applyFont="1" applyBorder="1" applyAlignment="1">
      <alignment horizontal="center"/>
    </xf>
    <xf numFmtId="0" fontId="60" fillId="0" borderId="8" xfId="156" applyFont="1" applyBorder="1" applyAlignment="1">
      <alignment horizontal="center"/>
    </xf>
    <xf numFmtId="0" fontId="60" fillId="0" borderId="0" xfId="156" applyFont="1" applyBorder="1" applyAlignment="1">
      <alignment horizontal="center" wrapText="1"/>
    </xf>
    <xf numFmtId="0" fontId="60" fillId="0" borderId="13" xfId="156" applyFont="1" applyBorder="1" applyAlignment="1">
      <alignment horizontal="center" wrapText="1"/>
    </xf>
    <xf numFmtId="0" fontId="74" fillId="0" borderId="8" xfId="156" applyFont="1" applyBorder="1" applyAlignment="1">
      <alignment horizontal="center"/>
    </xf>
    <xf numFmtId="0" fontId="74" fillId="0" borderId="0" xfId="156" applyFont="1" applyBorder="1" applyAlignment="1">
      <alignment horizontal="center" wrapText="1"/>
    </xf>
    <xf numFmtId="0" fontId="74" fillId="0" borderId="13" xfId="156" applyFont="1" applyBorder="1" applyAlignment="1">
      <alignment horizontal="center" wrapText="1"/>
    </xf>
    <xf numFmtId="0" fontId="67" fillId="0" borderId="8" xfId="156" applyFont="1" applyBorder="1" applyAlignment="1"/>
    <xf numFmtId="0" fontId="58" fillId="0" borderId="47" xfId="121" applyFont="1" applyBorder="1"/>
    <xf numFmtId="169" fontId="75" fillId="0" borderId="8" xfId="0" applyNumberFormat="1" applyFont="1" applyBorder="1"/>
    <xf numFmtId="39" fontId="75" fillId="0" borderId="0" xfId="4" applyNumberFormat="1" applyFont="1" applyFill="1" applyBorder="1" applyAlignment="1">
      <alignment horizontal="center"/>
    </xf>
    <xf numFmtId="166" fontId="75" fillId="0" borderId="13" xfId="4" applyNumberFormat="1" applyFont="1" applyBorder="1" applyAlignment="1">
      <alignment horizontal="right"/>
    </xf>
    <xf numFmtId="166" fontId="75" fillId="0" borderId="0" xfId="4" applyNumberFormat="1" applyFont="1" applyBorder="1" applyAlignment="1">
      <alignment horizontal="right"/>
    </xf>
    <xf numFmtId="42" fontId="72" fillId="0" borderId="0" xfId="121" applyNumberFormat="1" applyFont="1" applyBorder="1"/>
    <xf numFmtId="44" fontId="21" fillId="0" borderId="0" xfId="121" applyNumberFormat="1" applyFont="1"/>
    <xf numFmtId="2" fontId="75" fillId="0" borderId="0" xfId="4" applyNumberFormat="1" applyFont="1" applyFill="1" applyBorder="1" applyAlignment="1">
      <alignment horizontal="center"/>
    </xf>
    <xf numFmtId="0" fontId="66" fillId="0" borderId="54" xfId="0" applyFont="1" applyFill="1" applyBorder="1"/>
    <xf numFmtId="166" fontId="66" fillId="0" borderId="30" xfId="4" applyNumberFormat="1" applyFont="1" applyBorder="1" applyAlignment="1">
      <alignment horizontal="center"/>
    </xf>
    <xf numFmtId="0" fontId="67" fillId="0" borderId="49" xfId="121" applyFont="1" applyBorder="1"/>
    <xf numFmtId="166" fontId="76" fillId="0" borderId="30" xfId="55" applyNumberFormat="1" applyFont="1" applyFill="1" applyBorder="1"/>
    <xf numFmtId="0" fontId="67" fillId="0" borderId="42" xfId="121" applyFont="1" applyBorder="1" applyAlignment="1">
      <alignment horizontal="left" wrapText="1"/>
    </xf>
    <xf numFmtId="170" fontId="75" fillId="0" borderId="8" xfId="0" applyNumberFormat="1" applyFont="1" applyBorder="1" applyAlignment="1">
      <alignment wrapText="1"/>
    </xf>
    <xf numFmtId="0" fontId="68" fillId="0" borderId="56" xfId="0" applyFont="1" applyFill="1" applyBorder="1" applyAlignment="1">
      <alignment horizontal="center"/>
    </xf>
    <xf numFmtId="166" fontId="66" fillId="0" borderId="57" xfId="4" applyNumberFormat="1" applyFont="1" applyFill="1" applyBorder="1" applyAlignment="1">
      <alignment horizontal="center"/>
    </xf>
    <xf numFmtId="1" fontId="73" fillId="0" borderId="47" xfId="121" applyNumberFormat="1" applyFont="1" applyBorder="1" applyAlignment="1">
      <alignment horizontal="center"/>
    </xf>
    <xf numFmtId="0" fontId="77" fillId="0" borderId="8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center"/>
    </xf>
    <xf numFmtId="0" fontId="77" fillId="0" borderId="28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166" fontId="66" fillId="0" borderId="13" xfId="4" applyNumberFormat="1" applyFont="1" applyFill="1" applyBorder="1" applyAlignment="1">
      <alignment horizontal="center"/>
    </xf>
    <xf numFmtId="2" fontId="61" fillId="0" borderId="47" xfId="121" applyNumberFormat="1" applyFont="1" applyFill="1" applyBorder="1" applyAlignment="1">
      <alignment horizontal="center"/>
    </xf>
    <xf numFmtId="166" fontId="10" fillId="0" borderId="13" xfId="4" applyNumberFormat="1" applyFont="1" applyBorder="1" applyAlignment="1">
      <alignment horizontal="right"/>
    </xf>
    <xf numFmtId="166" fontId="75" fillId="0" borderId="0" xfId="55" applyNumberFormat="1" applyFont="1" applyBorder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7" fillId="0" borderId="28" xfId="121" applyNumberFormat="1" applyFont="1" applyBorder="1" applyAlignment="1">
      <alignment horizontal="center"/>
    </xf>
    <xf numFmtId="2" fontId="76" fillId="0" borderId="0" xfId="121" applyNumberFormat="1" applyFont="1" applyFill="1" applyBorder="1" applyAlignment="1">
      <alignment horizontal="center"/>
    </xf>
    <xf numFmtId="166" fontId="66" fillId="0" borderId="13" xfId="4" applyNumberFormat="1" applyFont="1" applyFill="1" applyBorder="1" applyAlignment="1">
      <alignment horizontal="left" wrapText="1"/>
    </xf>
    <xf numFmtId="0" fontId="78" fillId="0" borderId="47" xfId="121" applyNumberFormat="1" applyFont="1" applyBorder="1" applyAlignment="1">
      <alignment horizontal="center"/>
    </xf>
    <xf numFmtId="0" fontId="70" fillId="0" borderId="50" xfId="0" applyFont="1" applyBorder="1"/>
    <xf numFmtId="5" fontId="75" fillId="0" borderId="51" xfId="55" applyNumberFormat="1" applyFont="1" applyBorder="1" applyAlignment="1">
      <alignment horizontal="center"/>
    </xf>
    <xf numFmtId="2" fontId="70" fillId="0" borderId="51" xfId="0" applyNumberFormat="1" applyFont="1" applyBorder="1" applyAlignment="1">
      <alignment horizontal="center"/>
    </xf>
    <xf numFmtId="166" fontId="70" fillId="0" borderId="52" xfId="4" applyNumberFormat="1" applyFont="1" applyBorder="1"/>
    <xf numFmtId="166" fontId="70" fillId="0" borderId="0" xfId="4" applyNumberFormat="1" applyFont="1" applyBorder="1"/>
    <xf numFmtId="42" fontId="64" fillId="0" borderId="0" xfId="121" applyNumberFormat="1" applyFont="1" applyBorder="1"/>
    <xf numFmtId="0" fontId="67" fillId="0" borderId="28" xfId="121" applyFont="1" applyBorder="1" applyAlignment="1">
      <alignment horizontal="center"/>
    </xf>
    <xf numFmtId="0" fontId="76" fillId="0" borderId="0" xfId="121" applyFont="1" applyFill="1" applyBorder="1" applyAlignment="1">
      <alignment horizontal="center"/>
    </xf>
    <xf numFmtId="171" fontId="78" fillId="0" borderId="47" xfId="121" quotePrefix="1" applyNumberFormat="1" applyFont="1" applyFill="1" applyBorder="1" applyAlignment="1">
      <alignment horizontal="center"/>
    </xf>
    <xf numFmtId="0" fontId="75" fillId="0" borderId="8" xfId="0" applyFont="1" applyBorder="1"/>
    <xf numFmtId="166" fontId="70" fillId="0" borderId="13" xfId="4" applyNumberFormat="1" applyFont="1" applyBorder="1"/>
    <xf numFmtId="0" fontId="72" fillId="0" borderId="0" xfId="121" applyFont="1" applyFill="1" applyBorder="1"/>
    <xf numFmtId="2" fontId="78" fillId="0" borderId="47" xfId="121" applyNumberFormat="1" applyFont="1" applyFill="1" applyBorder="1" applyAlignment="1">
      <alignment horizontal="center"/>
    </xf>
    <xf numFmtId="0" fontId="75" fillId="0" borderId="54" xfId="0" applyFont="1" applyBorder="1"/>
    <xf numFmtId="0" fontId="75" fillId="0" borderId="30" xfId="0" applyFont="1" applyBorder="1" applyAlignment="1">
      <alignment horizontal="center"/>
    </xf>
    <xf numFmtId="166" fontId="75" fillId="0" borderId="58" xfId="4" applyNumberFormat="1" applyFont="1" applyBorder="1"/>
    <xf numFmtId="166" fontId="75" fillId="0" borderId="0" xfId="4" applyNumberFormat="1" applyFont="1" applyBorder="1"/>
    <xf numFmtId="42" fontId="72" fillId="0" borderId="0" xfId="121" applyNumberFormat="1" applyFont="1" applyFill="1" applyBorder="1"/>
    <xf numFmtId="0" fontId="75" fillId="0" borderId="59" xfId="0" applyFont="1" applyBorder="1"/>
    <xf numFmtId="0" fontId="75" fillId="0" borderId="43" xfId="0" applyFont="1" applyBorder="1" applyAlignment="1">
      <alignment horizontal="center"/>
    </xf>
    <xf numFmtId="166" fontId="70" fillId="0" borderId="60" xfId="4" applyNumberFormat="1" applyFont="1" applyBorder="1"/>
    <xf numFmtId="42" fontId="64" fillId="0" borderId="0" xfId="121" applyNumberFormat="1" applyFont="1" applyFill="1" applyBorder="1"/>
    <xf numFmtId="2" fontId="66" fillId="0" borderId="30" xfId="0" applyNumberFormat="1" applyFont="1" applyFill="1" applyBorder="1" applyAlignment="1">
      <alignment horizontal="center"/>
    </xf>
    <xf numFmtId="2" fontId="67" fillId="0" borderId="49" xfId="121" applyNumberFormat="1" applyFont="1" applyBorder="1" applyAlignment="1">
      <alignment horizontal="center"/>
    </xf>
    <xf numFmtId="2" fontId="76" fillId="0" borderId="30" xfId="121" applyNumberFormat="1" applyFont="1" applyFill="1" applyBorder="1" applyAlignment="1">
      <alignment horizontal="center"/>
    </xf>
    <xf numFmtId="166" fontId="66" fillId="0" borderId="58" xfId="4" applyNumberFormat="1" applyFont="1" applyFill="1" applyBorder="1" applyAlignment="1">
      <alignment horizontal="left" wrapText="1"/>
    </xf>
    <xf numFmtId="2" fontId="61" fillId="0" borderId="47" xfId="121" applyNumberFormat="1" applyFont="1" applyFill="1" applyBorder="1"/>
    <xf numFmtId="166" fontId="66" fillId="0" borderId="53" xfId="4" applyNumberFormat="1" applyFont="1" applyFill="1" applyBorder="1" applyAlignment="1">
      <alignment horizontal="center"/>
    </xf>
    <xf numFmtId="0" fontId="75" fillId="0" borderId="8" xfId="0" applyFont="1" applyFill="1" applyBorder="1"/>
    <xf numFmtId="0" fontId="75" fillId="0" borderId="0" xfId="0" applyFont="1" applyBorder="1"/>
    <xf numFmtId="166" fontId="75" fillId="0" borderId="13" xfId="0" applyNumberFormat="1" applyFont="1" applyBorder="1"/>
    <xf numFmtId="166" fontId="75" fillId="0" borderId="0" xfId="0" applyNumberFormat="1" applyFont="1" applyBorder="1"/>
    <xf numFmtId="166" fontId="75" fillId="0" borderId="13" xfId="4" applyNumberFormat="1" applyFont="1" applyBorder="1"/>
    <xf numFmtId="166" fontId="72" fillId="0" borderId="0" xfId="121" applyNumberFormat="1" applyFont="1" applyFill="1" applyBorder="1"/>
    <xf numFmtId="10" fontId="66" fillId="0" borderId="0" xfId="193" applyNumberFormat="1" applyFont="1" applyFill="1" applyBorder="1" applyAlignment="1">
      <alignment horizontal="center"/>
    </xf>
    <xf numFmtId="10" fontId="76" fillId="0" borderId="0" xfId="193" applyNumberFormat="1" applyFont="1" applyFill="1" applyBorder="1" applyAlignment="1">
      <alignment horizontal="center"/>
    </xf>
    <xf numFmtId="166" fontId="66" fillId="0" borderId="13" xfId="4" applyNumberFormat="1" applyFont="1" applyFill="1" applyBorder="1" applyAlignment="1">
      <alignment horizontal="left" vertical="top" wrapText="1"/>
    </xf>
    <xf numFmtId="0" fontId="58" fillId="0" borderId="47" xfId="121" applyFont="1" applyFill="1" applyBorder="1"/>
    <xf numFmtId="7" fontId="66" fillId="0" borderId="0" xfId="4" applyNumberFormat="1" applyFont="1" applyBorder="1" applyAlignment="1">
      <alignment horizontal="center"/>
    </xf>
    <xf numFmtId="7" fontId="76" fillId="0" borderId="0" xfId="4" applyNumberFormat="1" applyFont="1" applyFill="1" applyBorder="1" applyAlignment="1">
      <alignment horizontal="center"/>
    </xf>
    <xf numFmtId="0" fontId="70" fillId="0" borderId="61" xfId="0" applyFont="1" applyBorder="1"/>
    <xf numFmtId="166" fontId="70" fillId="0" borderId="63" xfId="4" applyNumberFormat="1" applyFont="1" applyBorder="1"/>
    <xf numFmtId="166" fontId="72" fillId="0" borderId="0" xfId="54" applyNumberFormat="1" applyFont="1" applyFill="1" applyBorder="1"/>
    <xf numFmtId="0" fontId="66" fillId="0" borderId="8" xfId="0" applyFont="1" applyBorder="1"/>
    <xf numFmtId="166" fontId="66" fillId="0" borderId="13" xfId="4" applyNumberFormat="1" applyFont="1" applyBorder="1"/>
    <xf numFmtId="166" fontId="76" fillId="0" borderId="13" xfId="4" applyNumberFormat="1" applyFont="1" applyFill="1" applyBorder="1"/>
    <xf numFmtId="10" fontId="75" fillId="0" borderId="0" xfId="193" applyNumberFormat="1" applyFont="1" applyBorder="1" applyAlignment="1">
      <alignment horizontal="center"/>
    </xf>
    <xf numFmtId="44" fontId="70" fillId="0" borderId="0" xfId="4" applyNumberFormat="1" applyFont="1" applyFill="1" applyBorder="1"/>
    <xf numFmtId="166" fontId="72" fillId="0" borderId="0" xfId="54" applyNumberFormat="1" applyFont="1" applyBorder="1"/>
    <xf numFmtId="0" fontId="79" fillId="0" borderId="8" xfId="0" applyFont="1" applyFill="1" applyBorder="1"/>
    <xf numFmtId="0" fontId="79" fillId="0" borderId="0" xfId="0" applyFont="1" applyFill="1" applyBorder="1"/>
    <xf numFmtId="10" fontId="79" fillId="0" borderId="0" xfId="193" applyNumberFormat="1" applyFont="1" applyFill="1" applyBorder="1" applyAlignment="1">
      <alignment horizontal="center"/>
    </xf>
    <xf numFmtId="0" fontId="79" fillId="0" borderId="64" xfId="122" applyFont="1" applyBorder="1" applyAlignment="1">
      <alignment horizontal="left" wrapText="1"/>
    </xf>
    <xf numFmtId="0" fontId="75" fillId="0" borderId="12" xfId="0" applyFont="1" applyFill="1" applyBorder="1"/>
    <xf numFmtId="10" fontId="75" fillId="0" borderId="9" xfId="0" applyNumberFormat="1" applyFont="1" applyFill="1" applyBorder="1" applyAlignment="1">
      <alignment horizontal="center"/>
    </xf>
    <xf numFmtId="44" fontId="70" fillId="32" borderId="10" xfId="4" applyNumberFormat="1" applyFont="1" applyFill="1" applyBorder="1"/>
    <xf numFmtId="10" fontId="75" fillId="0" borderId="0" xfId="173" applyNumberFormat="1" applyFont="1" applyBorder="1"/>
    <xf numFmtId="44" fontId="80" fillId="0" borderId="0" xfId="55" applyFont="1" applyBorder="1"/>
    <xf numFmtId="0" fontId="79" fillId="0" borderId="53" xfId="122" applyFont="1" applyBorder="1" applyAlignment="1">
      <alignment horizontal="left" wrapText="1"/>
    </xf>
    <xf numFmtId="0" fontId="61" fillId="0" borderId="47" xfId="121" applyFont="1" applyFill="1" applyBorder="1"/>
    <xf numFmtId="9" fontId="10" fillId="0" borderId="0" xfId="0" applyNumberFormat="1" applyFont="1"/>
    <xf numFmtId="44" fontId="10" fillId="0" borderId="0" xfId="0" applyNumberFormat="1" applyFont="1"/>
    <xf numFmtId="44" fontId="80" fillId="0" borderId="0" xfId="4" applyNumberFormat="1" applyFont="1" applyBorder="1"/>
    <xf numFmtId="0" fontId="70" fillId="0" borderId="12" xfId="0" applyFont="1" applyFill="1" applyBorder="1"/>
    <xf numFmtId="10" fontId="70" fillId="0" borderId="9" xfId="193" applyNumberFormat="1" applyFont="1" applyFill="1" applyBorder="1" applyAlignment="1">
      <alignment horizontal="center"/>
    </xf>
    <xf numFmtId="0" fontId="70" fillId="0" borderId="9" xfId="0" applyFont="1" applyFill="1" applyBorder="1" applyAlignment="1">
      <alignment horizontal="center"/>
    </xf>
    <xf numFmtId="44" fontId="72" fillId="0" borderId="0" xfId="121" applyNumberFormat="1" applyFont="1" applyBorder="1"/>
    <xf numFmtId="166" fontId="79" fillId="0" borderId="53" xfId="122" applyNumberFormat="1" applyFont="1" applyBorder="1" applyAlignment="1">
      <alignment horizontal="left" wrapText="1"/>
    </xf>
    <xf numFmtId="10" fontId="63" fillId="0" borderId="0" xfId="173" applyNumberFormat="1" applyFont="1"/>
    <xf numFmtId="44" fontId="81" fillId="0" borderId="0" xfId="55" applyNumberFormat="1" applyFont="1" applyBorder="1"/>
    <xf numFmtId="0" fontId="70" fillId="0" borderId="0" xfId="0" applyFont="1" applyFill="1" applyBorder="1"/>
    <xf numFmtId="10" fontId="70" fillId="0" borderId="0" xfId="193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166" fontId="72" fillId="0" borderId="0" xfId="66" applyNumberFormat="1" applyFont="1" applyBorder="1"/>
    <xf numFmtId="166" fontId="21" fillId="0" borderId="0" xfId="121" applyNumberFormat="1" applyFont="1" applyFill="1" applyBorder="1"/>
    <xf numFmtId="7" fontId="81" fillId="0" borderId="0" xfId="4" applyNumberFormat="1" applyFont="1" applyFill="1" applyBorder="1"/>
    <xf numFmtId="0" fontId="64" fillId="0" borderId="0" xfId="121" applyFont="1" applyBorder="1"/>
    <xf numFmtId="10" fontId="64" fillId="0" borderId="0" xfId="121" applyNumberFormat="1" applyFont="1" applyBorder="1"/>
    <xf numFmtId="10" fontId="60" fillId="0" borderId="0" xfId="173" applyNumberFormat="1" applyFont="1" applyBorder="1"/>
    <xf numFmtId="0" fontId="19" fillId="0" borderId="0" xfId="123" applyFill="1" applyBorder="1"/>
    <xf numFmtId="0" fontId="66" fillId="0" borderId="8" xfId="0" applyFont="1" applyFill="1" applyBorder="1" applyAlignment="1">
      <alignment wrapText="1"/>
    </xf>
    <xf numFmtId="0" fontId="66" fillId="0" borderId="0" xfId="0" applyFont="1" applyFill="1" applyBorder="1"/>
    <xf numFmtId="7" fontId="66" fillId="0" borderId="0" xfId="55" applyNumberFormat="1" applyFont="1" applyFill="1" applyBorder="1" applyAlignment="1">
      <alignment horizontal="center"/>
    </xf>
    <xf numFmtId="7" fontId="76" fillId="0" borderId="0" xfId="55" applyNumberFormat="1" applyFont="1" applyFill="1" applyBorder="1" applyAlignment="1">
      <alignment horizontal="center"/>
    </xf>
    <xf numFmtId="0" fontId="66" fillId="0" borderId="53" xfId="122" applyFont="1" applyBorder="1" applyAlignment="1">
      <alignment horizontal="left" wrapText="1"/>
    </xf>
    <xf numFmtId="0" fontId="82" fillId="43" borderId="36" xfId="0" applyFont="1" applyFill="1" applyBorder="1" applyAlignment="1">
      <alignment wrapText="1"/>
    </xf>
    <xf numFmtId="0" fontId="82" fillId="43" borderId="42" xfId="0" applyFont="1" applyFill="1" applyBorder="1" applyAlignment="1">
      <alignment wrapText="1"/>
    </xf>
    <xf numFmtId="44" fontId="11" fillId="0" borderId="0" xfId="55" applyFont="1" applyFill="1" applyBorder="1"/>
    <xf numFmtId="0" fontId="83" fillId="0" borderId="55" xfId="156" applyFont="1" applyFill="1" applyBorder="1"/>
    <xf numFmtId="0" fontId="83" fillId="0" borderId="56" xfId="156" applyFont="1" applyFill="1" applyBorder="1"/>
    <xf numFmtId="10" fontId="68" fillId="0" borderId="0" xfId="193" applyNumberFormat="1" applyFont="1" applyFill="1" applyBorder="1" applyAlignment="1">
      <alignment horizontal="center"/>
    </xf>
    <xf numFmtId="0" fontId="66" fillId="0" borderId="53" xfId="0" applyFont="1" applyBorder="1" applyAlignment="1">
      <alignment horizontal="left"/>
    </xf>
    <xf numFmtId="169" fontId="61" fillId="0" borderId="0" xfId="121" applyNumberFormat="1" applyFont="1" applyBorder="1" applyAlignment="1">
      <alignment horizontal="center"/>
    </xf>
    <xf numFmtId="10" fontId="60" fillId="0" borderId="41" xfId="193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10" fontId="70" fillId="0" borderId="0" xfId="173" applyNumberFormat="1" applyFont="1" applyBorder="1"/>
    <xf numFmtId="0" fontId="10" fillId="0" borderId="39" xfId="0" applyFont="1" applyBorder="1"/>
    <xf numFmtId="0" fontId="82" fillId="43" borderId="40" xfId="0" applyFont="1" applyFill="1" applyBorder="1" applyAlignment="1">
      <alignment wrapText="1"/>
    </xf>
    <xf numFmtId="10" fontId="60" fillId="0" borderId="0" xfId="173" applyNumberFormat="1" applyFont="1" applyFill="1" applyBorder="1"/>
    <xf numFmtId="169" fontId="58" fillId="0" borderId="0" xfId="121" applyNumberFormat="1" applyFont="1" applyBorder="1"/>
    <xf numFmtId="8" fontId="10" fillId="0" borderId="34" xfId="0" applyNumberFormat="1" applyFont="1" applyBorder="1" applyAlignment="1">
      <alignment wrapText="1"/>
    </xf>
    <xf numFmtId="8" fontId="10" fillId="0" borderId="66" xfId="0" applyNumberFormat="1" applyFont="1" applyFill="1" applyBorder="1"/>
    <xf numFmtId="44" fontId="60" fillId="0" borderId="0" xfId="55" applyFont="1" applyFill="1" applyBorder="1"/>
    <xf numFmtId="0" fontId="21" fillId="0" borderId="0" xfId="121" applyFont="1" applyBorder="1"/>
    <xf numFmtId="0" fontId="58" fillId="0" borderId="50" xfId="156" applyFont="1" applyFill="1" applyBorder="1"/>
    <xf numFmtId="0" fontId="58" fillId="0" borderId="51" xfId="156" applyFont="1" applyFill="1" applyBorder="1"/>
    <xf numFmtId="10" fontId="58" fillId="0" borderId="51" xfId="193" applyNumberFormat="1" applyFont="1" applyFill="1" applyBorder="1" applyAlignment="1">
      <alignment horizontal="center"/>
    </xf>
    <xf numFmtId="164" fontId="58" fillId="0" borderId="51" xfId="193" applyNumberFormat="1" applyFont="1" applyFill="1" applyBorder="1" applyAlignment="1">
      <alignment horizontal="center"/>
    </xf>
    <xf numFmtId="166" fontId="66" fillId="0" borderId="52" xfId="4" applyNumberFormat="1" applyFont="1" applyFill="1" applyBorder="1" applyAlignment="1">
      <alignment horizontal="left" wrapText="1"/>
    </xf>
    <xf numFmtId="170" fontId="58" fillId="0" borderId="0" xfId="121" applyNumberFormat="1" applyFont="1" applyBorder="1"/>
    <xf numFmtId="8" fontId="10" fillId="0" borderId="66" xfId="0" applyNumberFormat="1" applyFont="1" applyBorder="1"/>
    <xf numFmtId="0" fontId="10" fillId="0" borderId="68" xfId="0" applyFont="1" applyBorder="1"/>
    <xf numFmtId="0" fontId="10" fillId="0" borderId="69" xfId="0" applyFont="1" applyBorder="1"/>
    <xf numFmtId="6" fontId="10" fillId="0" borderId="70" xfId="0" applyNumberFormat="1" applyFont="1" applyBorder="1" applyAlignment="1">
      <alignment wrapText="1"/>
    </xf>
    <xf numFmtId="172" fontId="80" fillId="0" borderId="0" xfId="3" applyNumberFormat="1" applyFont="1" applyFill="1" applyBorder="1" applyAlignment="1">
      <alignment horizontal="center" vertical="center"/>
    </xf>
    <xf numFmtId="8" fontId="59" fillId="0" borderId="0" xfId="121" applyNumberFormat="1" applyFont="1"/>
    <xf numFmtId="164" fontId="57" fillId="0" borderId="0" xfId="121" applyNumberFormat="1" applyFont="1" applyFill="1"/>
    <xf numFmtId="172" fontId="80" fillId="0" borderId="8" xfId="121" applyNumberFormat="1" applyFont="1" applyBorder="1" applyAlignment="1"/>
    <xf numFmtId="172" fontId="80" fillId="0" borderId="0" xfId="121" applyNumberFormat="1" applyFont="1" applyBorder="1" applyAlignment="1"/>
    <xf numFmtId="9" fontId="72" fillId="0" borderId="0" xfId="121" applyNumberFormat="1" applyFont="1" applyBorder="1"/>
    <xf numFmtId="0" fontId="72" fillId="0" borderId="13" xfId="121" applyFont="1" applyBorder="1"/>
    <xf numFmtId="0" fontId="82" fillId="0" borderId="0" xfId="0" applyFont="1" applyFill="1" applyBorder="1"/>
    <xf numFmtId="44" fontId="84" fillId="0" borderId="0" xfId="66" applyFont="1" applyFill="1" applyBorder="1"/>
    <xf numFmtId="0" fontId="56" fillId="0" borderId="0" xfId="121" applyFont="1" applyBorder="1"/>
    <xf numFmtId="0" fontId="10" fillId="0" borderId="0" xfId="0" applyFont="1" applyFill="1" applyBorder="1" applyAlignment="1">
      <alignment horizontal="left"/>
    </xf>
    <xf numFmtId="8" fontId="63" fillId="0" borderId="0" xfId="0" applyNumberFormat="1" applyFont="1" applyFill="1" applyBorder="1"/>
    <xf numFmtId="0" fontId="82" fillId="43" borderId="66" xfId="0" applyFont="1" applyFill="1" applyBorder="1"/>
    <xf numFmtId="164" fontId="10" fillId="0" borderId="0" xfId="0" applyNumberFormat="1" applyFont="1" applyFill="1" applyBorder="1"/>
    <xf numFmtId="0" fontId="80" fillId="0" borderId="38" xfId="121" applyFont="1" applyBorder="1"/>
    <xf numFmtId="0" fontId="80" fillId="0" borderId="34" xfId="121" applyFont="1" applyBorder="1"/>
    <xf numFmtId="44" fontId="80" fillId="0" borderId="66" xfId="121" applyNumberFormat="1" applyFont="1" applyBorder="1"/>
    <xf numFmtId="6" fontId="10" fillId="0" borderId="79" xfId="0" applyNumberFormat="1" applyFont="1" applyBorder="1" applyAlignment="1">
      <alignment wrapText="1"/>
    </xf>
    <xf numFmtId="44" fontId="80" fillId="0" borderId="38" xfId="121" applyNumberFormat="1" applyFont="1" applyBorder="1"/>
    <xf numFmtId="44" fontId="80" fillId="0" borderId="33" xfId="121" applyNumberFormat="1" applyFont="1" applyBorder="1"/>
    <xf numFmtId="44" fontId="60" fillId="0" borderId="66" xfId="121" applyNumberFormat="1" applyFont="1" applyBorder="1"/>
    <xf numFmtId="0" fontId="72" fillId="0" borderId="8" xfId="121" applyFont="1" applyFill="1" applyBorder="1"/>
    <xf numFmtId="0" fontId="72" fillId="0" borderId="13" xfId="121" applyFont="1" applyFill="1" applyBorder="1"/>
    <xf numFmtId="0" fontId="82" fillId="0" borderId="0" xfId="0" applyFont="1" applyFill="1" applyBorder="1" applyAlignment="1">
      <alignment wrapText="1"/>
    </xf>
    <xf numFmtId="0" fontId="10" fillId="0" borderId="49" xfId="0" applyFont="1" applyBorder="1"/>
    <xf numFmtId="0" fontId="82" fillId="43" borderId="42" xfId="0" applyFont="1" applyFill="1" applyBorder="1"/>
    <xf numFmtId="8" fontId="10" fillId="0" borderId="0" xfId="0" applyNumberFormat="1" applyFont="1" applyFill="1" applyBorder="1"/>
    <xf numFmtId="164" fontId="80" fillId="0" borderId="38" xfId="121" applyNumberFormat="1" applyFont="1" applyBorder="1"/>
    <xf numFmtId="8" fontId="80" fillId="0" borderId="34" xfId="121" applyNumberFormat="1" applyFont="1" applyFill="1" applyBorder="1"/>
    <xf numFmtId="8" fontId="10" fillId="0" borderId="0" xfId="0" applyNumberFormat="1" applyFont="1" applyBorder="1"/>
    <xf numFmtId="44" fontId="60" fillId="0" borderId="73" xfId="121" applyNumberFormat="1" applyFont="1" applyBorder="1"/>
    <xf numFmtId="4" fontId="72" fillId="0" borderId="66" xfId="55" applyNumberFormat="1" applyFont="1" applyFill="1" applyBorder="1"/>
    <xf numFmtId="164" fontId="64" fillId="0" borderId="0" xfId="55" applyNumberFormat="1" applyFont="1" applyFill="1" applyBorder="1"/>
    <xf numFmtId="0" fontId="80" fillId="0" borderId="0" xfId="121" applyFont="1"/>
    <xf numFmtId="0" fontId="80" fillId="0" borderId="0" xfId="121" applyFont="1" applyBorder="1"/>
    <xf numFmtId="0" fontId="10" fillId="0" borderId="38" xfId="0" applyFont="1" applyBorder="1"/>
    <xf numFmtId="8" fontId="10" fillId="0" borderId="66" xfId="0" applyNumberFormat="1" applyFont="1" applyBorder="1" applyAlignment="1">
      <alignment wrapText="1"/>
    </xf>
    <xf numFmtId="0" fontId="10" fillId="0" borderId="80" xfId="0" applyFont="1" applyBorder="1"/>
    <xf numFmtId="4" fontId="72" fillId="0" borderId="0" xfId="55" applyNumberFormat="1" applyFont="1" applyFill="1" applyBorder="1"/>
    <xf numFmtId="169" fontId="58" fillId="0" borderId="0" xfId="121" applyNumberFormat="1" applyFont="1" applyFill="1" applyBorder="1" applyAlignment="1"/>
    <xf numFmtId="42" fontId="85" fillId="0" borderId="0" xfId="121" applyNumberFormat="1" applyFont="1" applyFill="1" applyBorder="1"/>
    <xf numFmtId="8" fontId="80" fillId="0" borderId="13" xfId="121" applyNumberFormat="1" applyFont="1" applyBorder="1"/>
    <xf numFmtId="0" fontId="58" fillId="0" borderId="0" xfId="121" applyFont="1"/>
    <xf numFmtId="4" fontId="64" fillId="0" borderId="0" xfId="121" applyNumberFormat="1" applyFont="1" applyFill="1" applyBorder="1"/>
    <xf numFmtId="164" fontId="72" fillId="0" borderId="73" xfId="55" applyNumberFormat="1" applyFont="1" applyBorder="1"/>
    <xf numFmtId="0" fontId="80" fillId="0" borderId="0" xfId="121" applyFont="1" applyFill="1" applyBorder="1"/>
    <xf numFmtId="172" fontId="80" fillId="0" borderId="0" xfId="121" applyNumberFormat="1" applyFont="1" applyFill="1" applyBorder="1" applyAlignment="1"/>
    <xf numFmtId="9" fontId="80" fillId="0" borderId="0" xfId="121" applyNumberFormat="1" applyFont="1" applyFill="1" applyBorder="1" applyAlignment="1"/>
    <xf numFmtId="0" fontId="86" fillId="0" borderId="0" xfId="121" applyFont="1" applyFill="1" applyBorder="1"/>
    <xf numFmtId="0" fontId="64" fillId="0" borderId="0" xfId="121" applyFont="1" applyFill="1" applyBorder="1"/>
    <xf numFmtId="0" fontId="86" fillId="0" borderId="0" xfId="121" applyFont="1" applyFill="1" applyBorder="1" applyAlignment="1">
      <alignment wrapText="1"/>
    </xf>
    <xf numFmtId="0" fontId="87" fillId="0" borderId="0" xfId="121" applyFont="1" applyFill="1" applyBorder="1" applyAlignment="1">
      <alignment horizontal="center"/>
    </xf>
    <xf numFmtId="0" fontId="20" fillId="0" borderId="0" xfId="121" applyFont="1"/>
    <xf numFmtId="0" fontId="88" fillId="0" borderId="0" xfId="121" applyFont="1" applyFill="1"/>
    <xf numFmtId="0" fontId="64" fillId="0" borderId="0" xfId="121" applyFont="1" applyFill="1" applyBorder="1" applyAlignment="1">
      <alignment horizontal="center"/>
    </xf>
    <xf numFmtId="44" fontId="64" fillId="0" borderId="0" xfId="121" applyNumberFormat="1" applyFont="1" applyFill="1" applyBorder="1"/>
    <xf numFmtId="172" fontId="89" fillId="0" borderId="0" xfId="121" applyNumberFormat="1" applyFont="1" applyFill="1" applyBorder="1" applyAlignment="1">
      <alignment horizontal="right"/>
    </xf>
    <xf numFmtId="0" fontId="90" fillId="0" borderId="0" xfId="121" applyFont="1" applyFill="1"/>
    <xf numFmtId="0" fontId="49" fillId="0" borderId="0" xfId="121" applyFont="1"/>
    <xf numFmtId="44" fontId="64" fillId="0" borderId="0" xfId="121" applyNumberFormat="1" applyFont="1" applyFill="1" applyBorder="1" applyAlignment="1">
      <alignment horizontal="center"/>
    </xf>
    <xf numFmtId="42" fontId="64" fillId="0" borderId="0" xfId="121" applyNumberFormat="1" applyFont="1" applyFill="1" applyBorder="1" applyAlignment="1">
      <alignment horizontal="center"/>
    </xf>
    <xf numFmtId="0" fontId="69" fillId="0" borderId="0" xfId="121" applyFont="1" applyFill="1" applyBorder="1"/>
    <xf numFmtId="2" fontId="78" fillId="0" borderId="0" xfId="121" applyNumberFormat="1" applyFont="1" applyFill="1" applyBorder="1" applyAlignment="1">
      <alignment horizontal="right"/>
    </xf>
    <xf numFmtId="42" fontId="69" fillId="0" borderId="0" xfId="121" applyNumberFormat="1" applyFont="1" applyFill="1" applyBorder="1"/>
    <xf numFmtId="42" fontId="91" fillId="0" borderId="0" xfId="121" applyNumberFormat="1" applyFont="1" applyFill="1" applyBorder="1"/>
    <xf numFmtId="0" fontId="92" fillId="0" borderId="0" xfId="121" applyFont="1" applyFill="1" applyBorder="1" applyAlignment="1">
      <alignment wrapText="1"/>
    </xf>
    <xf numFmtId="0" fontId="49" fillId="0" borderId="0" xfId="121" applyFont="1" applyFill="1" applyBorder="1"/>
    <xf numFmtId="0" fontId="21" fillId="0" borderId="0" xfId="121" applyFont="1" applyFill="1" applyBorder="1"/>
    <xf numFmtId="2" fontId="93" fillId="0" borderId="0" xfId="121" applyNumberFormat="1" applyFont="1" applyFill="1" applyBorder="1" applyAlignment="1">
      <alignment horizontal="right"/>
    </xf>
    <xf numFmtId="42" fontId="21" fillId="0" borderId="0" xfId="121" applyNumberFormat="1" applyFont="1" applyFill="1" applyBorder="1"/>
    <xf numFmtId="42" fontId="65" fillId="0" borderId="0" xfId="121" applyNumberFormat="1" applyFont="1" applyFill="1" applyBorder="1"/>
    <xf numFmtId="0" fontId="94" fillId="0" borderId="0" xfId="121" applyFont="1" applyFill="1" applyBorder="1" applyAlignment="1">
      <alignment horizontal="center"/>
    </xf>
    <xf numFmtId="0" fontId="58" fillId="0" borderId="0" xfId="121" applyFont="1" applyFill="1" applyBorder="1"/>
    <xf numFmtId="0" fontId="91" fillId="0" borderId="0" xfId="121" applyFont="1" applyFill="1" applyBorder="1" applyAlignment="1">
      <alignment horizontal="center"/>
    </xf>
    <xf numFmtId="172" fontId="85" fillId="0" borderId="0" xfId="121" applyNumberFormat="1" applyFont="1" applyFill="1" applyBorder="1" applyAlignment="1">
      <alignment horizontal="right"/>
    </xf>
    <xf numFmtId="44" fontId="21" fillId="0" borderId="0" xfId="121" applyNumberFormat="1" applyFont="1" applyFill="1" applyBorder="1"/>
    <xf numFmtId="0" fontId="19" fillId="0" borderId="0" xfId="121" applyFill="1" applyBorder="1"/>
    <xf numFmtId="0" fontId="65" fillId="0" borderId="0" xfId="121" applyFont="1" applyFill="1" applyBorder="1"/>
    <xf numFmtId="44" fontId="65" fillId="0" borderId="0" xfId="121" applyNumberFormat="1" applyFont="1" applyFill="1" applyBorder="1"/>
    <xf numFmtId="44" fontId="21" fillId="0" borderId="0" xfId="54" applyFont="1" applyFill="1" applyBorder="1"/>
    <xf numFmtId="10" fontId="95" fillId="0" borderId="0" xfId="121" applyNumberFormat="1" applyFont="1" applyFill="1" applyBorder="1"/>
    <xf numFmtId="10" fontId="96" fillId="0" borderId="0" xfId="121" applyNumberFormat="1" applyFont="1" applyFill="1" applyBorder="1"/>
    <xf numFmtId="166" fontId="21" fillId="0" borderId="0" xfId="66" applyNumberFormat="1" applyFont="1" applyFill="1" applyBorder="1"/>
    <xf numFmtId="0" fontId="97" fillId="0" borderId="0" xfId="121" applyFont="1" applyFill="1" applyBorder="1" applyAlignment="1">
      <alignment horizontal="right"/>
    </xf>
    <xf numFmtId="169" fontId="19" fillId="0" borderId="0" xfId="121" applyNumberFormat="1" applyFont="1" applyFill="1" applyBorder="1" applyAlignment="1"/>
    <xf numFmtId="44" fontId="21" fillId="0" borderId="0" xfId="66" applyFont="1" applyFill="1" applyBorder="1"/>
    <xf numFmtId="44" fontId="19" fillId="0" borderId="0" xfId="66" applyFont="1" applyFill="1" applyBorder="1" applyAlignment="1"/>
    <xf numFmtId="44" fontId="19" fillId="0" borderId="0" xfId="54" applyFont="1" applyFill="1" applyBorder="1" applyAlignment="1"/>
    <xf numFmtId="0" fontId="19" fillId="0" borderId="48" xfId="121" applyBorder="1"/>
    <xf numFmtId="0" fontId="19" fillId="0" borderId="56" xfId="121" applyBorder="1"/>
    <xf numFmtId="0" fontId="19" fillId="0" borderId="45" xfId="121" applyBorder="1"/>
    <xf numFmtId="169" fontId="51" fillId="0" borderId="0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1" fillId="0" borderId="0" xfId="121" applyFont="1" applyBorder="1" applyAlignment="1">
      <alignment horizontal="center" wrapText="1"/>
    </xf>
    <xf numFmtId="38" fontId="9" fillId="0" borderId="13" xfId="0" applyNumberFormat="1" applyFont="1" applyFill="1" applyBorder="1" applyAlignment="1">
      <alignment horizontal="center"/>
    </xf>
    <xf numFmtId="169" fontId="97" fillId="0" borderId="0" xfId="0" applyNumberFormat="1" applyFont="1" applyFill="1" applyBorder="1" applyAlignment="1">
      <alignment horizontal="center"/>
    </xf>
    <xf numFmtId="0" fontId="61" fillId="0" borderId="8" xfId="156" applyFont="1" applyBorder="1" applyAlignment="1">
      <alignment horizontal="center"/>
    </xf>
    <xf numFmtId="0" fontId="61" fillId="0" borderId="0" xfId="156" applyFont="1" applyBorder="1" applyAlignment="1">
      <alignment horizontal="center" wrapText="1"/>
    </xf>
    <xf numFmtId="0" fontId="61" fillId="0" borderId="13" xfId="156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169" fontId="66" fillId="0" borderId="8" xfId="0" applyNumberFormat="1" applyFont="1" applyBorder="1"/>
    <xf numFmtId="39" fontId="66" fillId="0" borderId="0" xfId="4" applyNumberFormat="1" applyFont="1" applyFill="1" applyBorder="1" applyAlignment="1">
      <alignment horizontal="center"/>
    </xf>
    <xf numFmtId="166" fontId="66" fillId="0" borderId="13" xfId="4" applyNumberFormat="1" applyFont="1" applyBorder="1" applyAlignment="1">
      <alignment horizontal="right"/>
    </xf>
    <xf numFmtId="2" fontId="66" fillId="0" borderId="0" xfId="4" applyNumberFormat="1" applyFont="1" applyFill="1" applyBorder="1" applyAlignment="1">
      <alignment horizontal="center"/>
    </xf>
    <xf numFmtId="0" fontId="67" fillId="0" borderId="28" xfId="121" applyFont="1" applyBorder="1"/>
    <xf numFmtId="170" fontId="66" fillId="0" borderId="8" xfId="0" applyNumberFormat="1" applyFont="1" applyBorder="1" applyAlignment="1">
      <alignment wrapText="1"/>
    </xf>
    <xf numFmtId="0" fontId="67" fillId="0" borderId="13" xfId="121" applyFont="1" applyBorder="1" applyAlignment="1">
      <alignment horizontal="left" wrapText="1"/>
    </xf>
    <xf numFmtId="1" fontId="21" fillId="0" borderId="0" xfId="0" applyNumberFormat="1" applyFont="1" applyFill="1" applyBorder="1" applyAlignment="1">
      <alignment horizontal="center" wrapText="1"/>
    </xf>
    <xf numFmtId="166" fontId="8" fillId="0" borderId="13" xfId="4" applyNumberFormat="1" applyFont="1" applyBorder="1" applyAlignment="1">
      <alignment horizontal="right"/>
    </xf>
    <xf numFmtId="2" fontId="51" fillId="0" borderId="0" xfId="0" quotePrefix="1" applyNumberFormat="1" applyFont="1" applyFill="1" applyBorder="1" applyAlignment="1">
      <alignment horizontal="center"/>
    </xf>
    <xf numFmtId="0" fontId="77" fillId="0" borderId="50" xfId="0" applyFont="1" applyBorder="1"/>
    <xf numFmtId="166" fontId="77" fillId="0" borderId="52" xfId="4" applyNumberFormat="1" applyFont="1" applyBorder="1"/>
    <xf numFmtId="2" fontId="19" fillId="0" borderId="0" xfId="0" applyNumberFormat="1" applyFont="1" applyFill="1" applyBorder="1" applyAlignment="1">
      <alignment horizontal="center"/>
    </xf>
    <xf numFmtId="0" fontId="66" fillId="0" borderId="54" xfId="0" applyFont="1" applyBorder="1"/>
    <xf numFmtId="166" fontId="66" fillId="0" borderId="58" xfId="4" applyNumberFormat="1" applyFont="1" applyBorder="1"/>
    <xf numFmtId="174" fontId="19" fillId="0" borderId="0" xfId="0" applyNumberFormat="1" applyFont="1" applyFill="1" applyBorder="1" applyAlignment="1">
      <alignment horizontal="center" wrapText="1"/>
    </xf>
    <xf numFmtId="0" fontId="66" fillId="0" borderId="59" xfId="0" applyFont="1" applyBorder="1"/>
    <xf numFmtId="166" fontId="77" fillId="0" borderId="60" xfId="4" applyNumberFormat="1" applyFont="1" applyBorder="1"/>
    <xf numFmtId="166" fontId="77" fillId="0" borderId="13" xfId="4" applyNumberFormat="1" applyFont="1" applyBorder="1"/>
    <xf numFmtId="2" fontId="19" fillId="0" borderId="0" xfId="0" applyNumberFormat="1" applyFont="1" applyFill="1" applyBorder="1" applyAlignment="1">
      <alignment horizontal="left" wrapText="1"/>
    </xf>
    <xf numFmtId="166" fontId="66" fillId="0" borderId="13" xfId="0" applyNumberFormat="1" applyFont="1" applyBorder="1"/>
    <xf numFmtId="2" fontId="67" fillId="0" borderId="0" xfId="121" applyNumberFormat="1" applyFont="1" applyBorder="1" applyAlignment="1">
      <alignment horizontal="center"/>
    </xf>
    <xf numFmtId="0" fontId="19" fillId="0" borderId="0" xfId="121" applyFill="1" applyBorder="1" applyAlignment="1">
      <alignment horizontal="center"/>
    </xf>
    <xf numFmtId="0" fontId="77" fillId="0" borderId="78" xfId="0" applyFont="1" applyBorder="1"/>
    <xf numFmtId="166" fontId="77" fillId="0" borderId="85" xfId="4" applyNumberFormat="1" applyFont="1" applyBorder="1"/>
    <xf numFmtId="169" fontId="98" fillId="0" borderId="0" xfId="0" applyNumberFormat="1" applyFont="1" applyFill="1" applyBorder="1" applyAlignment="1">
      <alignment horizontal="center" wrapText="1"/>
    </xf>
    <xf numFmtId="0" fontId="66" fillId="0" borderId="12" xfId="0" applyFont="1" applyFill="1" applyBorder="1"/>
    <xf numFmtId="10" fontId="66" fillId="0" borderId="9" xfId="0" applyNumberFormat="1" applyFont="1" applyFill="1" applyBorder="1" applyAlignment="1">
      <alignment horizontal="center"/>
    </xf>
    <xf numFmtId="44" fontId="77" fillId="32" borderId="10" xfId="4" applyNumberFormat="1" applyFont="1" applyFill="1" applyBorder="1"/>
    <xf numFmtId="0" fontId="19" fillId="0" borderId="0" xfId="0" applyFont="1" applyFill="1" applyBorder="1" applyAlignment="1">
      <alignment horizontal="center"/>
    </xf>
    <xf numFmtId="0" fontId="66" fillId="0" borderId="13" xfId="0" applyFont="1" applyBorder="1" applyAlignment="1">
      <alignment horizontal="left" wrapText="1"/>
    </xf>
    <xf numFmtId="0" fontId="0" fillId="0" borderId="0" xfId="0" applyBorder="1"/>
    <xf numFmtId="10" fontId="79" fillId="0" borderId="28" xfId="193" applyNumberFormat="1" applyFont="1" applyFill="1" applyBorder="1" applyAlignment="1">
      <alignment horizontal="center"/>
    </xf>
    <xf numFmtId="0" fontId="66" fillId="0" borderId="13" xfId="122" applyFont="1" applyBorder="1" applyAlignment="1">
      <alignment horizontal="left" wrapText="1"/>
    </xf>
    <xf numFmtId="10" fontId="99" fillId="0" borderId="0" xfId="173" applyNumberFormat="1" applyFont="1" applyBorder="1"/>
    <xf numFmtId="0" fontId="0" fillId="0" borderId="89" xfId="0" applyBorder="1"/>
    <xf numFmtId="0" fontId="100" fillId="43" borderId="36" xfId="0" applyFont="1" applyFill="1" applyBorder="1" applyAlignment="1">
      <alignment wrapText="1"/>
    </xf>
    <xf numFmtId="0" fontId="100" fillId="43" borderId="90" xfId="0" applyFont="1" applyFill="1" applyBorder="1"/>
    <xf numFmtId="0" fontId="101" fillId="0" borderId="0" xfId="0" applyFont="1" applyFill="1" applyBorder="1" applyAlignment="1">
      <alignment horizontal="center" wrapText="1"/>
    </xf>
    <xf numFmtId="166" fontId="66" fillId="0" borderId="13" xfId="122" applyNumberFormat="1" applyFont="1" applyBorder="1" applyAlignment="1">
      <alignment horizontal="left" wrapText="1"/>
    </xf>
    <xf numFmtId="0" fontId="0" fillId="0" borderId="91" xfId="0" applyBorder="1"/>
    <xf numFmtId="8" fontId="0" fillId="0" borderId="34" xfId="0" applyNumberFormat="1" applyBorder="1" applyAlignment="1">
      <alignment wrapText="1"/>
    </xf>
    <xf numFmtId="8" fontId="0" fillId="0" borderId="92" xfId="0" applyNumberFormat="1" applyFill="1" applyBorder="1"/>
    <xf numFmtId="8" fontId="0" fillId="0" borderId="92" xfId="0" applyNumberFormat="1" applyBorder="1"/>
    <xf numFmtId="0" fontId="19" fillId="0" borderId="0" xfId="121" applyBorder="1" applyAlignment="1">
      <alignment horizontal="center"/>
    </xf>
    <xf numFmtId="7" fontId="66" fillId="0" borderId="28" xfId="55" applyNumberFormat="1" applyFont="1" applyFill="1" applyBorder="1" applyAlignment="1">
      <alignment horizontal="center"/>
    </xf>
    <xf numFmtId="0" fontId="0" fillId="0" borderId="93" xfId="0" applyBorder="1"/>
    <xf numFmtId="6" fontId="0" fillId="0" borderId="70" xfId="0" applyNumberFormat="1" applyBorder="1" applyAlignment="1">
      <alignment wrapText="1"/>
    </xf>
    <xf numFmtId="8" fontId="6" fillId="32" borderId="94" xfId="0" applyNumberFormat="1" applyFont="1" applyFill="1" applyBorder="1"/>
    <xf numFmtId="8" fontId="19" fillId="0" borderId="0" xfId="121" applyNumberFormat="1"/>
    <xf numFmtId="0" fontId="83" fillId="0" borderId="65" xfId="156" applyFont="1" applyFill="1" applyBorder="1"/>
    <xf numFmtId="0" fontId="83" fillId="0" borderId="32" xfId="156" applyFont="1" applyFill="1" applyBorder="1"/>
    <xf numFmtId="0" fontId="0" fillId="0" borderId="95" xfId="0" applyBorder="1" applyAlignment="1">
      <alignment wrapText="1"/>
    </xf>
    <xf numFmtId="0" fontId="0" fillId="0" borderId="96" xfId="0" applyBorder="1"/>
    <xf numFmtId="0" fontId="12" fillId="0" borderId="0" xfId="122" applyBorder="1" applyAlignment="1">
      <alignment horizontal="center" wrapText="1"/>
    </xf>
    <xf numFmtId="0" fontId="83" fillId="0" borderId="78" xfId="156" applyFont="1" applyFill="1" applyBorder="1"/>
    <xf numFmtId="0" fontId="83" fillId="0" borderId="84" xfId="156" applyFont="1" applyFill="1" applyBorder="1"/>
    <xf numFmtId="0" fontId="66" fillId="0" borderId="85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19" fillId="0" borderId="0" xfId="121" applyBorder="1"/>
    <xf numFmtId="0" fontId="102" fillId="45" borderId="0" xfId="0" applyFont="1" applyFill="1" applyBorder="1" applyAlignment="1">
      <alignment horizontal="center" wrapText="1"/>
    </xf>
    <xf numFmtId="0" fontId="103" fillId="45" borderId="0" xfId="0" applyFont="1" applyFill="1" applyBorder="1" applyAlignment="1">
      <alignment horizontal="center"/>
    </xf>
    <xf numFmtId="0" fontId="103" fillId="46" borderId="0" xfId="0" applyFont="1" applyFill="1" applyBorder="1"/>
    <xf numFmtId="0" fontId="0" fillId="46" borderId="0" xfId="0" applyFill="1" applyBorder="1" applyAlignment="1">
      <alignment wrapText="1"/>
    </xf>
    <xf numFmtId="2" fontId="0" fillId="46" borderId="0" xfId="0" applyNumberFormat="1" applyFill="1" applyBorder="1"/>
    <xf numFmtId="44" fontId="0" fillId="46" borderId="0" xfId="0" applyNumberFormat="1" applyFill="1" applyBorder="1"/>
    <xf numFmtId="0" fontId="0" fillId="46" borderId="0" xfId="0" applyFill="1" applyBorder="1"/>
    <xf numFmtId="6" fontId="0" fillId="46" borderId="0" xfId="0" applyNumberFormat="1" applyFill="1" applyBorder="1"/>
    <xf numFmtId="8" fontId="0" fillId="46" borderId="0" xfId="0" applyNumberFormat="1" applyFill="1" applyBorder="1"/>
    <xf numFmtId="44" fontId="51" fillId="46" borderId="0" xfId="54" applyFont="1" applyFill="1" applyBorder="1" applyAlignment="1">
      <alignment wrapText="1"/>
    </xf>
    <xf numFmtId="44" fontId="51" fillId="46" borderId="0" xfId="54" applyFont="1" applyFill="1" applyBorder="1"/>
    <xf numFmtId="164" fontId="0" fillId="46" borderId="0" xfId="0" applyNumberFormat="1" applyFill="1" applyBorder="1"/>
    <xf numFmtId="10" fontId="51" fillId="46" borderId="0" xfId="176" applyNumberFormat="1" applyFont="1" applyFill="1" applyBorder="1"/>
    <xf numFmtId="0" fontId="19" fillId="0" borderId="0" xfId="121" applyFill="1"/>
    <xf numFmtId="0" fontId="19" fillId="0" borderId="0" xfId="123"/>
    <xf numFmtId="0" fontId="104" fillId="0" borderId="0" xfId="121" applyFont="1" applyAlignment="1">
      <alignment horizontal="center"/>
    </xf>
    <xf numFmtId="0" fontId="105" fillId="0" borderId="0" xfId="0" applyFont="1" applyBorder="1"/>
    <xf numFmtId="0" fontId="84" fillId="0" borderId="0" xfId="0" applyFont="1"/>
    <xf numFmtId="0" fontId="58" fillId="0" borderId="42" xfId="156" applyFont="1" applyFill="1" applyBorder="1" applyAlignment="1">
      <alignment horizontal="center" vertical="center"/>
    </xf>
    <xf numFmtId="0" fontId="106" fillId="0" borderId="0" xfId="3" applyFont="1" applyFill="1" applyBorder="1" applyAlignment="1">
      <alignment horizontal="center"/>
    </xf>
    <xf numFmtId="3" fontId="107" fillId="0" borderId="0" xfId="0" applyNumberFormat="1" applyFont="1" applyBorder="1"/>
    <xf numFmtId="3" fontId="108" fillId="0" borderId="0" xfId="0" applyNumberFormat="1" applyFont="1" applyBorder="1"/>
    <xf numFmtId="0" fontId="84" fillId="0" borderId="0" xfId="0" applyFont="1" applyBorder="1"/>
    <xf numFmtId="39" fontId="75" fillId="0" borderId="0" xfId="55" applyNumberFormat="1" applyFont="1" applyFill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42" fontId="105" fillId="0" borderId="0" xfId="0" applyNumberFormat="1" applyFont="1" applyBorder="1"/>
    <xf numFmtId="42" fontId="84" fillId="0" borderId="0" xfId="0" applyNumberFormat="1" applyFont="1" applyBorder="1"/>
    <xf numFmtId="166" fontId="109" fillId="0" borderId="0" xfId="55" applyNumberFormat="1" applyFont="1" applyBorder="1"/>
    <xf numFmtId="0" fontId="75" fillId="0" borderId="54" xfId="0" applyFont="1" applyFill="1" applyBorder="1"/>
    <xf numFmtId="0" fontId="66" fillId="0" borderId="8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/>
    </xf>
    <xf numFmtId="0" fontId="66" fillId="0" borderId="28" xfId="0" applyFont="1" applyFill="1" applyBorder="1" applyAlignment="1">
      <alignment horizontal="center"/>
    </xf>
    <xf numFmtId="0" fontId="111" fillId="0" borderId="0" xfId="0" applyFont="1" applyBorder="1"/>
    <xf numFmtId="0" fontId="112" fillId="0" borderId="0" xfId="0" applyFont="1" applyBorder="1"/>
    <xf numFmtId="42" fontId="107" fillId="0" borderId="0" xfId="0" applyNumberFormat="1" applyFont="1" applyBorder="1"/>
    <xf numFmtId="10" fontId="75" fillId="0" borderId="0" xfId="0" applyNumberFormat="1" applyFont="1" applyBorder="1" applyAlignment="1">
      <alignment horizontal="center"/>
    </xf>
    <xf numFmtId="42" fontId="108" fillId="0" borderId="0" xfId="0" applyNumberFormat="1" applyFont="1" applyBorder="1"/>
    <xf numFmtId="166" fontId="56" fillId="0" borderId="0" xfId="121" applyNumberFormat="1" applyFont="1"/>
    <xf numFmtId="1" fontId="56" fillId="0" borderId="0" xfId="121" applyNumberFormat="1" applyFont="1"/>
    <xf numFmtId="0" fontId="105" fillId="0" borderId="0" xfId="0" applyFont="1" applyFill="1" applyBorder="1"/>
    <xf numFmtId="0" fontId="84" fillId="0" borderId="0" xfId="0" applyFont="1" applyFill="1" applyBorder="1"/>
    <xf numFmtId="42" fontId="105" fillId="0" borderId="0" xfId="0" applyNumberFormat="1" applyFont="1" applyFill="1" applyBorder="1"/>
    <xf numFmtId="42" fontId="84" fillId="0" borderId="0" xfId="0" applyNumberFormat="1" applyFont="1" applyFill="1" applyBorder="1"/>
    <xf numFmtId="42" fontId="107" fillId="0" borderId="0" xfId="0" applyNumberFormat="1" applyFont="1" applyFill="1" applyBorder="1"/>
    <xf numFmtId="42" fontId="108" fillId="0" borderId="0" xfId="0" applyNumberFormat="1" applyFont="1" applyFill="1" applyBorder="1"/>
    <xf numFmtId="166" fontId="56" fillId="0" borderId="0" xfId="55" applyNumberFormat="1" applyFont="1"/>
    <xf numFmtId="0" fontId="75" fillId="0" borderId="0" xfId="0" applyFont="1" applyFill="1" applyBorder="1"/>
    <xf numFmtId="10" fontId="75" fillId="0" borderId="0" xfId="0" applyNumberFormat="1" applyFont="1" applyFill="1" applyBorder="1" applyAlignment="1">
      <alignment horizontal="center"/>
    </xf>
    <xf numFmtId="44" fontId="75" fillId="0" borderId="0" xfId="4" applyNumberFormat="1" applyFont="1" applyFill="1" applyBorder="1"/>
    <xf numFmtId="44" fontId="56" fillId="0" borderId="0" xfId="121" applyNumberFormat="1" applyFont="1"/>
    <xf numFmtId="166" fontId="105" fillId="0" borderId="0" xfId="0" applyNumberFormat="1" applyFont="1" applyFill="1" applyBorder="1"/>
    <xf numFmtId="10" fontId="70" fillId="0" borderId="0" xfId="173" applyNumberFormat="1" applyFont="1" applyFill="1" applyBorder="1"/>
    <xf numFmtId="166" fontId="84" fillId="0" borderId="0" xfId="0" applyNumberFormat="1" applyFont="1" applyFill="1" applyBorder="1"/>
    <xf numFmtId="0" fontId="76" fillId="0" borderId="8" xfId="0" applyFont="1" applyFill="1" applyBorder="1"/>
    <xf numFmtId="10" fontId="66" fillId="0" borderId="28" xfId="193" applyNumberFormat="1" applyFont="1" applyFill="1" applyBorder="1" applyAlignment="1">
      <alignment horizontal="center"/>
    </xf>
    <xf numFmtId="0" fontId="10" fillId="0" borderId="100" xfId="0" applyFont="1" applyBorder="1"/>
    <xf numFmtId="44" fontId="105" fillId="0" borderId="101" xfId="54" applyFont="1" applyFill="1" applyBorder="1"/>
    <xf numFmtId="0" fontId="10" fillId="0" borderId="102" xfId="0" applyFont="1" applyBorder="1"/>
    <xf numFmtId="0" fontId="113" fillId="43" borderId="103" xfId="0" applyFont="1" applyFill="1" applyBorder="1" applyAlignment="1">
      <alignment wrapText="1"/>
    </xf>
    <xf numFmtId="0" fontId="113" fillId="43" borderId="104" xfId="0" applyFont="1" applyFill="1" applyBorder="1" applyAlignment="1">
      <alignment wrapText="1"/>
    </xf>
    <xf numFmtId="0" fontId="10" fillId="0" borderId="105" xfId="0" applyFont="1" applyBorder="1"/>
    <xf numFmtId="44" fontId="84" fillId="0" borderId="0" xfId="54" applyFont="1" applyFill="1" applyBorder="1"/>
    <xf numFmtId="0" fontId="10" fillId="0" borderId="106" xfId="0" applyFont="1" applyBorder="1"/>
    <xf numFmtId="0" fontId="114" fillId="43" borderId="103" xfId="0" applyFont="1" applyFill="1" applyBorder="1" applyAlignment="1">
      <alignment wrapText="1"/>
    </xf>
    <xf numFmtId="0" fontId="114" fillId="43" borderId="42" xfId="0" applyFont="1" applyFill="1" applyBorder="1" applyAlignment="1">
      <alignment wrapText="1"/>
    </xf>
    <xf numFmtId="0" fontId="10" fillId="0" borderId="107" xfId="0" applyFont="1" applyBorder="1"/>
    <xf numFmtId="44" fontId="105" fillId="0" borderId="101" xfId="54" applyFont="1" applyBorder="1"/>
    <xf numFmtId="0" fontId="10" fillId="0" borderId="33" xfId="0" applyFont="1" applyBorder="1"/>
    <xf numFmtId="0" fontId="10" fillId="0" borderId="101" xfId="0" applyFont="1" applyBorder="1"/>
    <xf numFmtId="44" fontId="84" fillId="0" borderId="0" xfId="54" applyFont="1" applyBorder="1"/>
    <xf numFmtId="0" fontId="10" fillId="0" borderId="91" xfId="0" applyFont="1" applyBorder="1"/>
    <xf numFmtId="0" fontId="10" fillId="0" borderId="108" xfId="0" applyFont="1" applyBorder="1"/>
    <xf numFmtId="0" fontId="105" fillId="0" borderId="101" xfId="0" applyFont="1" applyBorder="1"/>
    <xf numFmtId="0" fontId="67" fillId="0" borderId="55" xfId="156" applyFont="1" applyFill="1" applyBorder="1"/>
    <xf numFmtId="0" fontId="67" fillId="0" borderId="56" xfId="156" applyFont="1" applyFill="1" applyBorder="1"/>
    <xf numFmtId="0" fontId="66" fillId="0" borderId="13" xfId="0" applyFont="1" applyBorder="1" applyAlignment="1">
      <alignment horizontal="left"/>
    </xf>
    <xf numFmtId="44" fontId="109" fillId="0" borderId="101" xfId="55" applyFont="1" applyBorder="1"/>
    <xf numFmtId="0" fontId="10" fillId="0" borderId="72" xfId="0" applyFont="1" applyBorder="1"/>
    <xf numFmtId="8" fontId="10" fillId="0" borderId="79" xfId="0" applyNumberFormat="1" applyFont="1" applyFill="1" applyBorder="1" applyAlignment="1">
      <alignment wrapText="1"/>
    </xf>
    <xf numFmtId="8" fontId="63" fillId="32" borderId="73" xfId="0" applyNumberFormat="1" applyFont="1" applyFill="1" applyBorder="1"/>
    <xf numFmtId="0" fontId="10" fillId="0" borderId="109" xfId="0" applyFont="1" applyBorder="1"/>
    <xf numFmtId="0" fontId="67" fillId="0" borderId="78" xfId="156" applyFont="1" applyFill="1" applyBorder="1"/>
    <xf numFmtId="0" fontId="67" fillId="0" borderId="84" xfId="156" applyFont="1" applyFill="1" applyBorder="1"/>
    <xf numFmtId="0" fontId="66" fillId="0" borderId="1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44" fontId="110" fillId="0" borderId="0" xfId="55" applyFont="1"/>
    <xf numFmtId="0" fontId="10" fillId="0" borderId="95" xfId="0" applyFont="1" applyBorder="1" applyAlignment="1">
      <alignment wrapText="1"/>
    </xf>
    <xf numFmtId="166" fontId="105" fillId="0" borderId="101" xfId="66" applyNumberFormat="1" applyFont="1" applyBorder="1"/>
    <xf numFmtId="0" fontId="115" fillId="46" borderId="76" xfId="0" applyFont="1" applyFill="1" applyBorder="1" applyAlignment="1">
      <alignment horizontal="center" wrapText="1"/>
    </xf>
    <xf numFmtId="0" fontId="115" fillId="46" borderId="36" xfId="0" applyFont="1" applyFill="1" applyBorder="1" applyAlignment="1">
      <alignment horizontal="center"/>
    </xf>
    <xf numFmtId="0" fontId="115" fillId="46" borderId="110" xfId="0" applyFont="1" applyFill="1" applyBorder="1"/>
    <xf numFmtId="0" fontId="115" fillId="46" borderId="89" xfId="0" applyFont="1" applyFill="1" applyBorder="1" applyAlignment="1">
      <alignment horizontal="center" wrapText="1"/>
    </xf>
    <xf numFmtId="0" fontId="113" fillId="46" borderId="110" xfId="0" applyFont="1" applyFill="1" applyBorder="1"/>
    <xf numFmtId="1" fontId="116" fillId="0" borderId="0" xfId="0" applyNumberFormat="1" applyFont="1" applyFill="1" applyBorder="1" applyAlignment="1">
      <alignment horizontal="right"/>
    </xf>
    <xf numFmtId="0" fontId="80" fillId="46" borderId="33" xfId="0" applyFont="1" applyFill="1" applyBorder="1" applyAlignment="1">
      <alignment wrapText="1"/>
    </xf>
    <xf numFmtId="2" fontId="80" fillId="46" borderId="34" xfId="0" applyNumberFormat="1" applyFont="1" applyFill="1" applyBorder="1"/>
    <xf numFmtId="44" fontId="80" fillId="46" borderId="34" xfId="0" applyNumberFormat="1" applyFont="1" applyFill="1" applyBorder="1"/>
    <xf numFmtId="0" fontId="80" fillId="46" borderId="111" xfId="0" applyFont="1" applyFill="1" applyBorder="1"/>
    <xf numFmtId="166" fontId="84" fillId="0" borderId="0" xfId="66" applyNumberFormat="1" applyFont="1" applyBorder="1"/>
    <xf numFmtId="0" fontId="10" fillId="46" borderId="91" xfId="0" applyFont="1" applyFill="1" applyBorder="1" applyAlignment="1">
      <alignment wrapText="1"/>
    </xf>
    <xf numFmtId="2" fontId="10" fillId="46" borderId="34" xfId="0" applyNumberFormat="1" applyFont="1" applyFill="1" applyBorder="1"/>
    <xf numFmtId="44" fontId="10" fillId="46" borderId="34" xfId="0" applyNumberFormat="1" applyFont="1" applyFill="1" applyBorder="1"/>
    <xf numFmtId="0" fontId="10" fillId="46" borderId="111" xfId="0" applyFont="1" applyFill="1" applyBorder="1"/>
    <xf numFmtId="1" fontId="117" fillId="0" borderId="0" xfId="0" applyNumberFormat="1" applyFont="1" applyFill="1" applyBorder="1" applyAlignment="1">
      <alignment horizontal="right"/>
    </xf>
    <xf numFmtId="0" fontId="21" fillId="0" borderId="0" xfId="0" applyFont="1" applyBorder="1"/>
    <xf numFmtId="8" fontId="80" fillId="46" borderId="34" xfId="0" applyNumberFormat="1" applyFont="1" applyFill="1" applyBorder="1"/>
    <xf numFmtId="6" fontId="10" fillId="46" borderId="34" xfId="0" applyNumberFormat="1" applyFont="1" applyFill="1" applyBorder="1"/>
    <xf numFmtId="8" fontId="10" fillId="46" borderId="34" xfId="0" applyNumberFormat="1" applyFont="1" applyFill="1" applyBorder="1"/>
    <xf numFmtId="170" fontId="19" fillId="0" borderId="0" xfId="0" applyNumberFormat="1" applyFont="1" applyBorder="1"/>
    <xf numFmtId="44" fontId="115" fillId="46" borderId="112" xfId="54" applyFont="1" applyFill="1" applyBorder="1" applyAlignment="1">
      <alignment wrapText="1"/>
    </xf>
    <xf numFmtId="44" fontId="115" fillId="46" borderId="113" xfId="54" applyFont="1" applyFill="1" applyBorder="1"/>
    <xf numFmtId="164" fontId="80" fillId="46" borderId="113" xfId="133" applyNumberFormat="1" applyFont="1" applyFill="1" applyBorder="1"/>
    <xf numFmtId="10" fontId="115" fillId="46" borderId="114" xfId="176" applyNumberFormat="1" applyFont="1" applyFill="1" applyBorder="1"/>
    <xf numFmtId="44" fontId="115" fillId="46" borderId="115" xfId="54" applyFont="1" applyFill="1" applyBorder="1" applyAlignment="1">
      <alignment wrapText="1"/>
    </xf>
    <xf numFmtId="164" fontId="10" fillId="46" borderId="44" xfId="0" applyNumberFormat="1" applyFont="1" applyFill="1" applyBorder="1"/>
    <xf numFmtId="10" fontId="115" fillId="46" borderId="116" xfId="176" applyNumberFormat="1" applyFont="1" applyFill="1" applyBorder="1"/>
    <xf numFmtId="0" fontId="10" fillId="0" borderId="0" xfId="0" applyFont="1" applyFill="1" applyBorder="1"/>
    <xf numFmtId="0" fontId="59" fillId="0" borderId="117" xfId="0" applyFont="1" applyBorder="1"/>
    <xf numFmtId="0" fontId="118" fillId="0" borderId="0" xfId="0" applyFont="1" applyFill="1" applyBorder="1" applyAlignment="1">
      <alignment horizontal="center"/>
    </xf>
    <xf numFmtId="0" fontId="10" fillId="0" borderId="117" xfId="0" applyFont="1" applyBorder="1"/>
    <xf numFmtId="0" fontId="59" fillId="0" borderId="117" xfId="121" applyFont="1" applyBorder="1"/>
    <xf numFmtId="0" fontId="19" fillId="0" borderId="0" xfId="123" applyBorder="1"/>
    <xf numFmtId="44" fontId="36" fillId="0" borderId="0" xfId="55" applyFont="1" applyFill="1" applyBorder="1"/>
    <xf numFmtId="44" fontId="11" fillId="0" borderId="0" xfId="55" applyFont="1"/>
    <xf numFmtId="44" fontId="51" fillId="0" borderId="0" xfId="55" applyFont="1" applyFill="1" applyBorder="1"/>
    <xf numFmtId="44" fontId="0" fillId="0" borderId="0" xfId="0" applyNumberFormat="1" applyFill="1" applyBorder="1"/>
    <xf numFmtId="169" fontId="99" fillId="0" borderId="0" xfId="0" applyNumberFormat="1" applyFont="1" applyFill="1" applyBorder="1" applyAlignment="1">
      <alignment horizontal="center"/>
    </xf>
    <xf numFmtId="0" fontId="59" fillId="0" borderId="30" xfId="121" applyFont="1" applyBorder="1"/>
    <xf numFmtId="169" fontId="56" fillId="0" borderId="0" xfId="0" applyNumberFormat="1" applyFont="1" applyBorder="1"/>
    <xf numFmtId="0" fontId="121" fillId="0" borderId="0" xfId="3" applyFont="1" applyFill="1" applyBorder="1" applyAlignment="1">
      <alignment horizontal="center"/>
    </xf>
    <xf numFmtId="0" fontId="43" fillId="0" borderId="0" xfId="3" applyFont="1" applyFill="1" applyBorder="1" applyAlignment="1">
      <alignment horizontal="center"/>
    </xf>
    <xf numFmtId="170" fontId="56" fillId="0" borderId="0" xfId="0" applyNumberFormat="1" applyFont="1" applyBorder="1"/>
    <xf numFmtId="3" fontId="65" fillId="0" borderId="0" xfId="0" applyNumberFormat="1" applyFont="1" applyBorder="1"/>
    <xf numFmtId="0" fontId="66" fillId="0" borderId="55" xfId="0" applyFont="1" applyFill="1" applyBorder="1"/>
    <xf numFmtId="170" fontId="56" fillId="0" borderId="47" xfId="0" applyNumberFormat="1" applyFont="1" applyBorder="1"/>
    <xf numFmtId="0" fontId="65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42" fontId="21" fillId="0" borderId="0" xfId="0" applyNumberFormat="1" applyFont="1" applyBorder="1"/>
    <xf numFmtId="0" fontId="99" fillId="0" borderId="0" xfId="0" applyFont="1" applyBorder="1"/>
    <xf numFmtId="0" fontId="67" fillId="0" borderId="58" xfId="121" applyFont="1" applyBorder="1" applyAlignment="1">
      <alignment horizontal="left" wrapText="1"/>
    </xf>
    <xf numFmtId="166" fontId="110" fillId="0" borderId="0" xfId="55" applyNumberFormat="1" applyFont="1" applyBorder="1"/>
    <xf numFmtId="166" fontId="11" fillId="0" borderId="0" xfId="55" applyNumberFormat="1" applyFont="1" applyBorder="1"/>
    <xf numFmtId="0" fontId="66" fillId="0" borderId="54" xfId="0" applyFont="1" applyFill="1" applyBorder="1" applyAlignment="1">
      <alignment horizontal="right"/>
    </xf>
    <xf numFmtId="0" fontId="66" fillId="0" borderId="30" xfId="0" applyFont="1" applyFill="1" applyBorder="1" applyAlignment="1">
      <alignment horizontal="center"/>
    </xf>
    <xf numFmtId="0" fontId="66" fillId="0" borderId="49" xfId="0" applyFont="1" applyFill="1" applyBorder="1" applyAlignment="1">
      <alignment horizontal="center" wrapText="1"/>
    </xf>
    <xf numFmtId="0" fontId="105" fillId="0" borderId="0" xfId="0" applyFont="1"/>
    <xf numFmtId="42" fontId="21" fillId="0" borderId="0" xfId="0" applyNumberFormat="1" applyFont="1" applyFill="1" applyBorder="1"/>
    <xf numFmtId="0" fontId="66" fillId="0" borderId="67" xfId="0" applyFont="1" applyFill="1" applyBorder="1"/>
    <xf numFmtId="2" fontId="66" fillId="0" borderId="44" xfId="0" applyNumberFormat="1" applyFont="1" applyFill="1" applyBorder="1" applyAlignment="1">
      <alignment horizontal="center"/>
    </xf>
    <xf numFmtId="169" fontId="122" fillId="0" borderId="0" xfId="0" applyNumberFormat="1" applyFont="1" applyBorder="1" applyAlignment="1">
      <alignment horizontal="center"/>
    </xf>
    <xf numFmtId="42" fontId="65" fillId="0" borderId="0" xfId="0" applyNumberFormat="1" applyFont="1" applyBorder="1"/>
    <xf numFmtId="0" fontId="66" fillId="0" borderId="118" xfId="0" applyFont="1" applyFill="1" applyBorder="1"/>
    <xf numFmtId="2" fontId="67" fillId="0" borderId="46" xfId="121" applyNumberFormat="1" applyFont="1" applyBorder="1" applyAlignment="1">
      <alignment horizontal="center"/>
    </xf>
    <xf numFmtId="0" fontId="56" fillId="0" borderId="0" xfId="0" applyFont="1" applyBorder="1"/>
    <xf numFmtId="0" fontId="67" fillId="0" borderId="118" xfId="156" applyFont="1" applyBorder="1" applyAlignment="1"/>
    <xf numFmtId="2" fontId="66" fillId="0" borderId="46" xfId="0" applyNumberFormat="1" applyFont="1" applyFill="1" applyBorder="1" applyAlignment="1">
      <alignment horizontal="center"/>
    </xf>
    <xf numFmtId="0" fontId="104" fillId="0" borderId="0" xfId="0" applyFont="1" applyBorder="1"/>
    <xf numFmtId="0" fontId="56" fillId="0" borderId="0" xfId="0" applyFont="1" applyFill="1" applyBorder="1"/>
    <xf numFmtId="0" fontId="21" fillId="0" borderId="0" xfId="0" applyFont="1" applyFill="1" applyBorder="1"/>
    <xf numFmtId="0" fontId="66" fillId="0" borderId="39" xfId="0" applyFont="1" applyFill="1" applyBorder="1"/>
    <xf numFmtId="2" fontId="66" fillId="0" borderId="40" xfId="0" applyNumberFormat="1" applyFont="1" applyFill="1" applyBorder="1" applyAlignment="1">
      <alignment horizontal="center"/>
    </xf>
    <xf numFmtId="0" fontId="75" fillId="0" borderId="119" xfId="0" applyFont="1" applyFill="1" applyBorder="1"/>
    <xf numFmtId="166" fontId="75" fillId="0" borderId="121" xfId="4" applyNumberFormat="1" applyFont="1" applyBorder="1"/>
    <xf numFmtId="42" fontId="65" fillId="0" borderId="0" xfId="0" applyNumberFormat="1" applyFont="1" applyFill="1" applyBorder="1"/>
    <xf numFmtId="0" fontId="66" fillId="0" borderId="34" xfId="0" applyFont="1" applyFill="1" applyBorder="1"/>
    <xf numFmtId="166" fontId="70" fillId="0" borderId="57" xfId="4" applyNumberFormat="1" applyFont="1" applyBorder="1"/>
    <xf numFmtId="0" fontId="123" fillId="0" borderId="0" xfId="0" applyFont="1" applyFill="1" applyBorder="1"/>
    <xf numFmtId="0" fontId="75" fillId="0" borderId="0" xfId="0" applyFont="1"/>
    <xf numFmtId="0" fontId="59" fillId="0" borderId="0" xfId="121" applyFont="1" applyBorder="1"/>
    <xf numFmtId="10" fontId="74" fillId="0" borderId="0" xfId="173" applyNumberFormat="1" applyFont="1" applyBorder="1"/>
    <xf numFmtId="44" fontId="67" fillId="0" borderId="0" xfId="55" applyNumberFormat="1" applyFont="1"/>
    <xf numFmtId="1" fontId="122" fillId="0" borderId="0" xfId="0" applyNumberFormat="1" applyFont="1" applyBorder="1" applyAlignment="1">
      <alignment horizontal="center"/>
    </xf>
    <xf numFmtId="42" fontId="108" fillId="0" borderId="122" xfId="0" applyNumberFormat="1" applyFont="1" applyFill="1" applyBorder="1"/>
    <xf numFmtId="10" fontId="70" fillId="0" borderId="122" xfId="173" applyNumberFormat="1" applyFont="1" applyBorder="1"/>
    <xf numFmtId="0" fontId="59" fillId="0" borderId="122" xfId="121" applyFont="1" applyBorder="1"/>
    <xf numFmtId="0" fontId="99" fillId="0" borderId="101" xfId="0" applyNumberFormat="1" applyFont="1" applyBorder="1" applyAlignment="1">
      <alignment horizontal="center"/>
    </xf>
    <xf numFmtId="10" fontId="71" fillId="0" borderId="0" xfId="173" applyNumberFormat="1" applyFont="1" applyFill="1" applyBorder="1"/>
    <xf numFmtId="0" fontId="10" fillId="0" borderId="123" xfId="0" applyFont="1" applyBorder="1"/>
    <xf numFmtId="0" fontId="114" fillId="43" borderId="40" xfId="0" applyFont="1" applyFill="1" applyBorder="1" applyAlignment="1">
      <alignment wrapText="1"/>
    </xf>
    <xf numFmtId="4" fontId="99" fillId="0" borderId="101" xfId="0" quotePrefix="1" applyNumberFormat="1" applyFont="1" applyFill="1" applyBorder="1" applyAlignment="1">
      <alignment horizontal="center"/>
    </xf>
    <xf numFmtId="44" fontId="110" fillId="0" borderId="0" xfId="55" applyFont="1" applyBorder="1"/>
    <xf numFmtId="44" fontId="11" fillId="0" borderId="0" xfId="55" applyFont="1" applyBorder="1"/>
    <xf numFmtId="174" fontId="124" fillId="0" borderId="101" xfId="0" applyNumberFormat="1" applyFont="1" applyFill="1" applyBorder="1" applyAlignment="1">
      <alignment horizontal="center"/>
    </xf>
    <xf numFmtId="0" fontId="10" fillId="0" borderId="76" xfId="0" applyFont="1" applyBorder="1"/>
    <xf numFmtId="0" fontId="114" fillId="43" borderId="36" xfId="0" applyFont="1" applyFill="1" applyBorder="1" applyAlignment="1">
      <alignment wrapText="1"/>
    </xf>
    <xf numFmtId="0" fontId="114" fillId="43" borderId="29" xfId="0" applyFont="1" applyFill="1" applyBorder="1" applyAlignment="1">
      <alignment wrapText="1"/>
    </xf>
    <xf numFmtId="0" fontId="10" fillId="0" borderId="125" xfId="0" applyFont="1" applyBorder="1"/>
    <xf numFmtId="175" fontId="79" fillId="0" borderId="28" xfId="193" applyNumberFormat="1" applyFont="1" applyFill="1" applyBorder="1" applyAlignment="1">
      <alignment horizontal="center"/>
    </xf>
    <xf numFmtId="10" fontId="109" fillId="0" borderId="101" xfId="173" applyNumberFormat="1" applyFont="1" applyBorder="1" applyAlignment="1">
      <alignment wrapText="1"/>
    </xf>
    <xf numFmtId="0" fontId="10" fillId="0" borderId="126" xfId="0" applyFont="1" applyBorder="1"/>
    <xf numFmtId="8" fontId="10" fillId="0" borderId="79" xfId="0" applyNumberFormat="1" applyFont="1" applyBorder="1" applyAlignment="1">
      <alignment wrapText="1"/>
    </xf>
    <xf numFmtId="166" fontId="21" fillId="0" borderId="0" xfId="66" applyNumberFormat="1" applyFont="1" applyBorder="1"/>
    <xf numFmtId="0" fontId="125" fillId="0" borderId="101" xfId="122" applyFont="1" applyBorder="1" applyAlignment="1">
      <alignment wrapText="1"/>
    </xf>
    <xf numFmtId="44" fontId="10" fillId="0" borderId="34" xfId="0" applyNumberFormat="1" applyFont="1" applyBorder="1" applyAlignment="1">
      <alignment wrapText="1"/>
    </xf>
    <xf numFmtId="44" fontId="110" fillId="0" borderId="0" xfId="55" applyFont="1" applyFill="1" applyBorder="1"/>
    <xf numFmtId="0" fontId="66" fillId="0" borderId="0" xfId="0" applyFont="1" applyFill="1" applyBorder="1" applyAlignment="1">
      <alignment wrapText="1"/>
    </xf>
    <xf numFmtId="166" fontId="10" fillId="0" borderId="79" xfId="0" applyNumberFormat="1" applyFont="1" applyBorder="1" applyAlignment="1">
      <alignment wrapText="1"/>
    </xf>
    <xf numFmtId="0" fontId="10" fillId="0" borderId="127" xfId="0" applyFont="1" applyBorder="1"/>
    <xf numFmtId="2" fontId="99" fillId="0" borderId="101" xfId="0" applyNumberFormat="1" applyFont="1" applyFill="1" applyBorder="1" applyAlignment="1">
      <alignment horizontal="center"/>
    </xf>
    <xf numFmtId="0" fontId="10" fillId="0" borderId="128" xfId="0" applyFont="1" applyBorder="1" applyAlignment="1">
      <alignment wrapText="1"/>
    </xf>
    <xf numFmtId="44" fontId="42" fillId="0" borderId="0" xfId="55" applyFont="1" applyFill="1" applyBorder="1"/>
    <xf numFmtId="169" fontId="126" fillId="0" borderId="101" xfId="0" applyNumberFormat="1" applyFont="1" applyBorder="1" applyAlignment="1">
      <alignment horizontal="center" wrapText="1"/>
    </xf>
    <xf numFmtId="44" fontId="115" fillId="0" borderId="0" xfId="55" applyFont="1" applyFill="1" applyBorder="1"/>
    <xf numFmtId="0" fontId="56" fillId="0" borderId="101" xfId="0" applyFont="1" applyFill="1" applyBorder="1"/>
    <xf numFmtId="0" fontId="10" fillId="46" borderId="33" xfId="0" applyFont="1" applyFill="1" applyBorder="1" applyAlignment="1">
      <alignment wrapText="1"/>
    </xf>
    <xf numFmtId="9" fontId="110" fillId="46" borderId="111" xfId="176" applyFont="1" applyFill="1" applyBorder="1"/>
    <xf numFmtId="0" fontId="10" fillId="46" borderId="126" xfId="0" applyFont="1" applyFill="1" applyBorder="1" applyAlignment="1">
      <alignment wrapText="1"/>
    </xf>
    <xf numFmtId="44" fontId="115" fillId="46" borderId="129" xfId="54" applyFont="1" applyFill="1" applyBorder="1" applyAlignment="1">
      <alignment wrapText="1"/>
    </xf>
    <xf numFmtId="44" fontId="109" fillId="0" borderId="0" xfId="55" applyFont="1" applyBorder="1"/>
    <xf numFmtId="44" fontId="115" fillId="46" borderId="130" xfId="54" applyFont="1" applyFill="1" applyBorder="1" applyAlignment="1">
      <alignment wrapText="1"/>
    </xf>
    <xf numFmtId="169" fontId="51" fillId="0" borderId="0" xfId="0" applyNumberFormat="1" applyFont="1" applyBorder="1" applyAlignment="1">
      <alignment horizontal="center"/>
    </xf>
    <xf numFmtId="169" fontId="19" fillId="0" borderId="0" xfId="0" applyNumberFormat="1" applyFont="1" applyBorder="1"/>
    <xf numFmtId="0" fontId="67" fillId="0" borderId="53" xfId="121" applyFont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166" fontId="67" fillId="0" borderId="0" xfId="55" applyNumberFormat="1" applyFont="1" applyBorder="1"/>
    <xf numFmtId="0" fontId="51" fillId="0" borderId="0" xfId="0" applyFont="1" applyBorder="1"/>
    <xf numFmtId="39" fontId="75" fillId="0" borderId="0" xfId="4" applyNumberFormat="1" applyFont="1" applyBorder="1" applyAlignment="1">
      <alignment horizontal="center"/>
    </xf>
    <xf numFmtId="39" fontId="10" fillId="0" borderId="0" xfId="4" applyNumberFormat="1" applyFont="1" applyBorder="1" applyAlignment="1">
      <alignment horizontal="center"/>
    </xf>
    <xf numFmtId="169" fontId="97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/>
    <xf numFmtId="0" fontId="70" fillId="0" borderId="78" xfId="0" applyFont="1" applyBorder="1"/>
    <xf numFmtId="0" fontId="75" fillId="0" borderId="84" xfId="0" applyFont="1" applyBorder="1" applyAlignment="1">
      <alignment horizontal="center"/>
    </xf>
    <xf numFmtId="166" fontId="70" fillId="0" borderId="85" xfId="4" applyNumberFormat="1" applyFont="1" applyBorder="1"/>
    <xf numFmtId="1" fontId="97" fillId="0" borderId="0" xfId="0" applyNumberFormat="1" applyFont="1" applyBorder="1" applyAlignment="1">
      <alignment horizontal="center"/>
    </xf>
    <xf numFmtId="0" fontId="59" fillId="0" borderId="0" xfId="0" applyFont="1" applyFill="1" applyBorder="1"/>
    <xf numFmtId="44" fontId="81" fillId="0" borderId="0" xfId="55" applyFont="1"/>
    <xf numFmtId="4" fontId="51" fillId="0" borderId="0" xfId="0" quotePrefix="1" applyNumberFormat="1" applyFont="1" applyFill="1" applyBorder="1" applyAlignment="1">
      <alignment horizontal="center"/>
    </xf>
    <xf numFmtId="10" fontId="74" fillId="0" borderId="0" xfId="173" applyNumberFormat="1" applyFont="1"/>
    <xf numFmtId="174" fontId="93" fillId="0" borderId="101" xfId="0" applyNumberFormat="1" applyFont="1" applyFill="1" applyBorder="1" applyAlignment="1">
      <alignment horizontal="center"/>
    </xf>
    <xf numFmtId="0" fontId="59" fillId="0" borderId="122" xfId="0" applyFont="1" applyBorder="1"/>
    <xf numFmtId="0" fontId="114" fillId="43" borderId="42" xfId="0" applyFont="1" applyFill="1" applyBorder="1"/>
    <xf numFmtId="2" fontId="51" fillId="0" borderId="101" xfId="0" applyNumberFormat="1" applyFont="1" applyFill="1" applyBorder="1" applyAlignment="1">
      <alignment horizontal="center"/>
    </xf>
    <xf numFmtId="169" fontId="98" fillId="0" borderId="101" xfId="0" applyNumberFormat="1" applyFont="1" applyBorder="1" applyAlignment="1">
      <alignment horizontal="center" wrapText="1"/>
    </xf>
    <xf numFmtId="8" fontId="10" fillId="32" borderId="73" xfId="0" applyNumberFormat="1" applyFont="1" applyFill="1" applyBorder="1"/>
    <xf numFmtId="0" fontId="19" fillId="0" borderId="101" xfId="0" applyFont="1" applyFill="1" applyBorder="1"/>
    <xf numFmtId="0" fontId="59" fillId="0" borderId="101" xfId="121" applyFont="1" applyBorder="1"/>
    <xf numFmtId="0" fontId="66" fillId="0" borderId="58" xfId="0" applyFont="1" applyBorder="1" applyAlignment="1">
      <alignment horizontal="left"/>
    </xf>
    <xf numFmtId="0" fontId="0" fillId="0" borderId="101" xfId="0" applyBorder="1"/>
    <xf numFmtId="169" fontId="98" fillId="0" borderId="0" xfId="0" applyNumberFormat="1" applyFont="1" applyBorder="1" applyAlignment="1">
      <alignment horizontal="center" wrapText="1"/>
    </xf>
    <xf numFmtId="166" fontId="67" fillId="0" borderId="28" xfId="55" applyNumberFormat="1" applyFont="1" applyBorder="1"/>
    <xf numFmtId="169" fontId="75" fillId="0" borderId="8" xfId="0" applyNumberFormat="1" applyFont="1" applyFill="1" applyBorder="1"/>
    <xf numFmtId="7" fontId="75" fillId="0" borderId="0" xfId="0" applyNumberFormat="1" applyFont="1" applyFill="1" applyBorder="1" applyAlignment="1">
      <alignment horizontal="center"/>
    </xf>
    <xf numFmtId="166" fontId="75" fillId="0" borderId="13" xfId="0" applyNumberFormat="1" applyFont="1" applyFill="1" applyBorder="1"/>
    <xf numFmtId="0" fontId="77" fillId="0" borderId="8" xfId="0" applyFont="1" applyFill="1" applyBorder="1" applyAlignment="1">
      <alignment horizontal="center"/>
    </xf>
    <xf numFmtId="44" fontId="20" fillId="0" borderId="0" xfId="55" applyFont="1" applyBorder="1"/>
    <xf numFmtId="7" fontId="66" fillId="0" borderId="0" xfId="4" applyNumberFormat="1" applyFont="1" applyFill="1" applyBorder="1" applyAlignment="1">
      <alignment horizontal="center"/>
    </xf>
    <xf numFmtId="0" fontId="67" fillId="0" borderId="0" xfId="0" applyFont="1" applyFill="1" applyBorder="1"/>
    <xf numFmtId="10" fontId="81" fillId="0" borderId="0" xfId="173" applyNumberFormat="1" applyFont="1"/>
    <xf numFmtId="0" fontId="67" fillId="0" borderId="8" xfId="0" applyFont="1" applyFill="1" applyBorder="1"/>
    <xf numFmtId="7" fontId="67" fillId="0" borderId="28" xfId="55" applyNumberFormat="1" applyFont="1" applyFill="1" applyBorder="1" applyAlignment="1">
      <alignment horizontal="center"/>
    </xf>
    <xf numFmtId="0" fontId="59" fillId="0" borderId="0" xfId="0" applyFont="1" applyBorder="1"/>
    <xf numFmtId="174" fontId="93" fillId="0" borderId="0" xfId="0" applyNumberFormat="1" applyFont="1" applyFill="1" applyBorder="1" applyAlignment="1">
      <alignment horizontal="center"/>
    </xf>
    <xf numFmtId="0" fontId="100" fillId="0" borderId="0" xfId="0" applyFont="1" applyFill="1" applyBorder="1" applyAlignment="1">
      <alignment wrapText="1"/>
    </xf>
    <xf numFmtId="0" fontId="100" fillId="0" borderId="0" xfId="0" applyFont="1" applyFill="1" applyBorder="1"/>
    <xf numFmtId="8" fontId="0" fillId="0" borderId="0" xfId="0" applyNumberFormat="1" applyFill="1" applyBorder="1" applyAlignment="1">
      <alignment wrapText="1"/>
    </xf>
    <xf numFmtId="8" fontId="0" fillId="0" borderId="0" xfId="0" applyNumberFormat="1" applyFill="1" applyBorder="1"/>
    <xf numFmtId="2" fontId="51" fillId="0" borderId="0" xfId="0" applyNumberFormat="1" applyFont="1" applyFill="1" applyBorder="1" applyAlignment="1">
      <alignment horizontal="center"/>
    </xf>
    <xf numFmtId="6" fontId="0" fillId="0" borderId="0" xfId="0" applyNumberForma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103" fillId="0" borderId="0" xfId="0" applyFont="1" applyFill="1" applyBorder="1"/>
    <xf numFmtId="2" fontId="0" fillId="0" borderId="0" xfId="0" applyNumberFormat="1" applyFill="1" applyBorder="1"/>
    <xf numFmtId="44" fontId="51" fillId="0" borderId="0" xfId="54" applyFont="1" applyFill="1" applyBorder="1" applyAlignment="1">
      <alignment wrapText="1"/>
    </xf>
    <xf numFmtId="44" fontId="51" fillId="0" borderId="0" xfId="54" applyFont="1" applyFill="1" applyBorder="1"/>
    <xf numFmtId="10" fontId="51" fillId="0" borderId="0" xfId="176" applyNumberFormat="1" applyFont="1" applyFill="1" applyBorder="1"/>
    <xf numFmtId="0" fontId="127" fillId="48" borderId="34" xfId="122" applyFont="1" applyFill="1" applyBorder="1" applyAlignment="1">
      <alignment horizontal="center" vertical="center"/>
    </xf>
    <xf numFmtId="0" fontId="128" fillId="48" borderId="34" xfId="122" applyFont="1" applyFill="1" applyBorder="1" applyAlignment="1">
      <alignment horizontal="center" vertical="center"/>
    </xf>
    <xf numFmtId="0" fontId="129" fillId="48" borderId="34" xfId="122" applyFont="1" applyFill="1" applyBorder="1" applyAlignment="1">
      <alignment horizontal="left"/>
    </xf>
    <xf numFmtId="14" fontId="130" fillId="0" borderId="0" xfId="121" applyNumberFormat="1" applyFont="1" applyAlignment="1">
      <alignment horizontal="left"/>
    </xf>
    <xf numFmtId="0" fontId="12" fillId="0" borderId="0" xfId="0" applyFont="1" applyFill="1" applyBorder="1"/>
    <xf numFmtId="0" fontId="0" fillId="39" borderId="0" xfId="0" applyFill="1"/>
    <xf numFmtId="0" fontId="12" fillId="39" borderId="0" xfId="0" applyFont="1" applyFill="1" applyBorder="1"/>
    <xf numFmtId="166" fontId="132" fillId="0" borderId="34" xfId="84" applyNumberFormat="1" applyFont="1" applyBorder="1"/>
    <xf numFmtId="166" fontId="133" fillId="0" borderId="34" xfId="84" applyNumberFormat="1" applyFont="1" applyBorder="1"/>
    <xf numFmtId="0" fontId="129" fillId="0" borderId="34" xfId="122" applyFont="1" applyFill="1" applyBorder="1" applyAlignment="1">
      <alignment horizontal="left" wrapText="1"/>
    </xf>
    <xf numFmtId="0" fontId="131" fillId="0" borderId="0" xfId="3" applyFont="1" applyFill="1" applyBorder="1" applyAlignment="1">
      <alignment horizontal="center"/>
    </xf>
    <xf numFmtId="0" fontId="134" fillId="0" borderId="0" xfId="3" applyFont="1" applyFill="1" applyBorder="1" applyAlignment="1">
      <alignment horizontal="center"/>
    </xf>
    <xf numFmtId="166" fontId="132" fillId="0" borderId="34" xfId="122" applyNumberFormat="1" applyFont="1" applyFill="1" applyBorder="1"/>
    <xf numFmtId="0" fontId="131" fillId="0" borderId="65" xfId="0" applyFont="1" applyFill="1" applyBorder="1"/>
    <xf numFmtId="0" fontId="131" fillId="0" borderId="32" xfId="0" applyFont="1" applyFill="1" applyBorder="1" applyAlignment="1">
      <alignment horizontal="center" wrapText="1"/>
    </xf>
    <xf numFmtId="0" fontId="135" fillId="0" borderId="32" xfId="0" applyFont="1" applyFill="1" applyBorder="1" applyAlignment="1">
      <alignment horizontal="center"/>
    </xf>
    <xf numFmtId="0" fontId="131" fillId="0" borderId="77" xfId="0" applyFont="1" applyFill="1" applyBorder="1" applyAlignment="1">
      <alignment horizontal="center" wrapText="1"/>
    </xf>
    <xf numFmtId="0" fontId="131" fillId="0" borderId="0" xfId="0" applyFont="1" applyFill="1" applyBorder="1" applyAlignment="1">
      <alignment horizontal="center" wrapText="1"/>
    </xf>
    <xf numFmtId="0" fontId="135" fillId="0" borderId="65" xfId="0" applyFont="1" applyFill="1" applyBorder="1"/>
    <xf numFmtId="0" fontId="131" fillId="0" borderId="77" xfId="0" applyFont="1" applyFill="1" applyBorder="1" applyAlignment="1">
      <alignment wrapText="1"/>
    </xf>
    <xf numFmtId="0" fontId="131" fillId="39" borderId="65" xfId="0" applyFont="1" applyFill="1" applyBorder="1" applyAlignment="1">
      <alignment horizontal="center"/>
    </xf>
    <xf numFmtId="0" fontId="131" fillId="39" borderId="32" xfId="0" applyFont="1" applyFill="1" applyBorder="1" applyAlignment="1">
      <alignment horizontal="center" wrapText="1"/>
    </xf>
    <xf numFmtId="0" fontId="131" fillId="39" borderId="32" xfId="0" applyFont="1" applyFill="1" applyBorder="1" applyAlignment="1">
      <alignment horizontal="center"/>
    </xf>
    <xf numFmtId="0" fontId="131" fillId="39" borderId="77" xfId="0" applyFont="1" applyFill="1" applyBorder="1" applyAlignment="1">
      <alignment horizontal="center" wrapText="1"/>
    </xf>
    <xf numFmtId="0" fontId="132" fillId="0" borderId="65" xfId="0" applyFont="1" applyFill="1" applyBorder="1" applyAlignment="1">
      <alignment horizontal="center"/>
    </xf>
    <xf numFmtId="0" fontId="132" fillId="0" borderId="32" xfId="0" applyFont="1" applyFill="1" applyBorder="1" applyAlignment="1">
      <alignment horizontal="center" wrapText="1"/>
    </xf>
    <xf numFmtId="0" fontId="132" fillId="0" borderId="32" xfId="0" applyFont="1" applyFill="1" applyBorder="1" applyAlignment="1">
      <alignment horizontal="center"/>
    </xf>
    <xf numFmtId="0" fontId="132" fillId="0" borderId="77" xfId="0" applyFont="1" applyFill="1" applyBorder="1" applyAlignment="1">
      <alignment horizontal="center" wrapText="1"/>
    </xf>
    <xf numFmtId="166" fontId="133" fillId="0" borderId="34" xfId="122" applyNumberFormat="1" applyFont="1" applyFill="1" applyBorder="1"/>
    <xf numFmtId="0" fontId="136" fillId="0" borderId="53" xfId="0" applyFont="1" applyBorder="1" applyAlignment="1">
      <alignment horizontal="left" wrapText="1"/>
    </xf>
    <xf numFmtId="0" fontId="137" fillId="0" borderId="8" xfId="0" applyFont="1" applyFill="1" applyBorder="1"/>
    <xf numFmtId="165" fontId="132" fillId="0" borderId="13" xfId="84" applyNumberFormat="1" applyFont="1" applyFill="1" applyBorder="1" applyAlignment="1">
      <alignment horizontal="center"/>
    </xf>
    <xf numFmtId="165" fontId="132" fillId="0" borderId="0" xfId="84" applyNumberFormat="1" applyFont="1" applyFill="1" applyBorder="1" applyAlignment="1">
      <alignment horizontal="center"/>
    </xf>
    <xf numFmtId="169" fontId="132" fillId="0" borderId="8" xfId="0" applyNumberFormat="1" applyFont="1" applyFill="1" applyBorder="1"/>
    <xf numFmtId="165" fontId="132" fillId="0" borderId="0" xfId="0" applyNumberFormat="1" applyFont="1" applyFill="1" applyBorder="1"/>
    <xf numFmtId="0" fontId="132" fillId="0" borderId="0" xfId="0" applyFont="1" applyFill="1" applyBorder="1" applyAlignment="1">
      <alignment horizontal="center"/>
    </xf>
    <xf numFmtId="6" fontId="132" fillId="0" borderId="13" xfId="0" applyNumberFormat="1" applyFont="1" applyFill="1" applyBorder="1" applyAlignment="1">
      <alignment horizontal="center"/>
    </xf>
    <xf numFmtId="167" fontId="0" fillId="0" borderId="0" xfId="1" applyNumberFormat="1" applyFont="1"/>
    <xf numFmtId="169" fontId="137" fillId="0" borderId="8" xfId="0" applyNumberFormat="1" applyFont="1" applyFill="1" applyBorder="1"/>
    <xf numFmtId="4" fontId="132" fillId="0" borderId="0" xfId="0" applyNumberFormat="1" applyFont="1" applyFill="1" applyBorder="1" applyAlignment="1">
      <alignment horizontal="center"/>
    </xf>
    <xf numFmtId="6" fontId="132" fillId="0" borderId="0" xfId="0" applyNumberFormat="1" applyFont="1" applyFill="1" applyBorder="1" applyAlignment="1">
      <alignment horizontal="center"/>
    </xf>
    <xf numFmtId="166" fontId="132" fillId="39" borderId="8" xfId="0" applyNumberFormat="1" applyFont="1" applyFill="1" applyBorder="1"/>
    <xf numFmtId="165" fontId="132" fillId="39" borderId="0" xfId="0" applyNumberFormat="1" applyFont="1" applyFill="1" applyBorder="1" applyAlignment="1">
      <alignment horizontal="center"/>
    </xf>
    <xf numFmtId="0" fontId="132" fillId="39" borderId="0" xfId="0" applyFont="1" applyFill="1" applyBorder="1" applyAlignment="1">
      <alignment horizontal="center"/>
    </xf>
    <xf numFmtId="6" fontId="132" fillId="39" borderId="13" xfId="0" applyNumberFormat="1" applyFont="1" applyFill="1" applyBorder="1" applyAlignment="1">
      <alignment horizontal="center"/>
    </xf>
    <xf numFmtId="0" fontId="132" fillId="0" borderId="8" xfId="0" applyFont="1" applyFill="1" applyBorder="1"/>
    <xf numFmtId="165" fontId="132" fillId="0" borderId="0" xfId="0" applyNumberFormat="1" applyFont="1" applyFill="1" applyBorder="1" applyAlignment="1">
      <alignment horizontal="center"/>
    </xf>
    <xf numFmtId="0" fontId="132" fillId="39" borderId="8" xfId="0" applyFont="1" applyFill="1" applyBorder="1"/>
    <xf numFmtId="166" fontId="132" fillId="0" borderId="34" xfId="56" applyNumberFormat="1" applyFont="1" applyFill="1" applyBorder="1"/>
    <xf numFmtId="166" fontId="133" fillId="0" borderId="34" xfId="56" applyNumberFormat="1" applyFont="1" applyFill="1" applyBorder="1"/>
    <xf numFmtId="0" fontId="131" fillId="39" borderId="50" xfId="0" applyFont="1" applyFill="1" applyBorder="1"/>
    <xf numFmtId="0" fontId="131" fillId="39" borderId="51" xfId="0" applyFont="1" applyFill="1" applyBorder="1" applyAlignment="1"/>
    <xf numFmtId="0" fontId="131" fillId="39" borderId="51" xfId="0" applyFont="1" applyFill="1" applyBorder="1" applyAlignment="1">
      <alignment horizontal="center"/>
    </xf>
    <xf numFmtId="6" fontId="131" fillId="39" borderId="52" xfId="0" applyNumberFormat="1" applyFont="1" applyFill="1" applyBorder="1" applyAlignment="1">
      <alignment horizontal="center"/>
    </xf>
    <xf numFmtId="6" fontId="131" fillId="0" borderId="0" xfId="0" applyNumberFormat="1" applyFont="1" applyFill="1" applyBorder="1" applyAlignment="1">
      <alignment horizontal="center"/>
    </xf>
    <xf numFmtId="166" fontId="132" fillId="0" borderId="34" xfId="0" applyNumberFormat="1" applyFont="1" applyFill="1" applyBorder="1"/>
    <xf numFmtId="166" fontId="133" fillId="0" borderId="34" xfId="0" applyNumberFormat="1" applyFont="1" applyFill="1" applyBorder="1"/>
    <xf numFmtId="0" fontId="137" fillId="0" borderId="54" xfId="0" applyFont="1" applyFill="1" applyBorder="1"/>
    <xf numFmtId="4" fontId="132" fillId="0" borderId="30" xfId="0" applyNumberFormat="1" applyFont="1" applyFill="1" applyBorder="1" applyAlignment="1">
      <alignment horizontal="center"/>
    </xf>
    <xf numFmtId="6" fontId="132" fillId="0" borderId="58" xfId="0" applyNumberFormat="1" applyFont="1" applyFill="1" applyBorder="1" applyAlignment="1">
      <alignment horizontal="center"/>
    </xf>
    <xf numFmtId="0" fontId="131" fillId="0" borderId="50" xfId="0" applyFont="1" applyFill="1" applyBorder="1"/>
    <xf numFmtId="0" fontId="131" fillId="0" borderId="51" xfId="0" applyFont="1" applyFill="1" applyBorder="1"/>
    <xf numFmtId="0" fontId="131" fillId="0" borderId="51" xfId="0" applyFont="1" applyFill="1" applyBorder="1" applyAlignment="1">
      <alignment horizontal="center"/>
    </xf>
    <xf numFmtId="6" fontId="131" fillId="0" borderId="52" xfId="0" applyNumberFormat="1" applyFont="1" applyFill="1" applyBorder="1" applyAlignment="1">
      <alignment horizontal="center"/>
    </xf>
    <xf numFmtId="0" fontId="132" fillId="39" borderId="0" xfId="0" applyFont="1" applyFill="1" applyBorder="1"/>
    <xf numFmtId="0" fontId="132" fillId="39" borderId="13" xfId="0" applyFont="1" applyFill="1" applyBorder="1" applyAlignment="1">
      <alignment horizontal="center"/>
    </xf>
    <xf numFmtId="0" fontId="131" fillId="0" borderId="134" xfId="0" applyFont="1" applyFill="1" applyBorder="1"/>
    <xf numFmtId="0" fontId="131" fillId="0" borderId="62" xfId="0" applyFont="1" applyFill="1" applyBorder="1"/>
    <xf numFmtId="4" fontId="131" fillId="0" borderId="62" xfId="0" applyNumberFormat="1" applyFont="1" applyFill="1" applyBorder="1" applyAlignment="1">
      <alignment horizontal="center"/>
    </xf>
    <xf numFmtId="6" fontId="131" fillId="0" borderId="63" xfId="0" applyNumberFormat="1" applyFont="1" applyFill="1" applyBorder="1" applyAlignment="1">
      <alignment horizontal="center"/>
    </xf>
    <xf numFmtId="0" fontId="132" fillId="0" borderId="0" xfId="0" applyFont="1" applyFill="1" applyBorder="1"/>
    <xf numFmtId="0" fontId="132" fillId="0" borderId="13" xfId="0" applyFont="1" applyFill="1" applyBorder="1" applyAlignment="1">
      <alignment horizontal="center"/>
    </xf>
    <xf numFmtId="0" fontId="131" fillId="39" borderId="54" xfId="0" applyFont="1" applyFill="1" applyBorder="1"/>
    <xf numFmtId="0" fontId="132" fillId="39" borderId="30" xfId="0" applyFont="1" applyFill="1" applyBorder="1"/>
    <xf numFmtId="10" fontId="132" fillId="39" borderId="30" xfId="0" applyNumberFormat="1" applyFont="1" applyFill="1" applyBorder="1" applyAlignment="1">
      <alignment horizontal="center"/>
    </xf>
    <xf numFmtId="6" fontId="132" fillId="39" borderId="58" xfId="0" applyNumberFormat="1" applyFont="1" applyFill="1" applyBorder="1" applyAlignment="1">
      <alignment horizontal="center"/>
    </xf>
    <xf numFmtId="0" fontId="135" fillId="0" borderId="51" xfId="0" applyFont="1" applyFill="1" applyBorder="1"/>
    <xf numFmtId="0" fontId="135" fillId="0" borderId="51" xfId="0" applyFont="1" applyFill="1" applyBorder="1" applyAlignment="1">
      <alignment horizontal="center"/>
    </xf>
    <xf numFmtId="6" fontId="135" fillId="0" borderId="52" xfId="0" applyNumberFormat="1" applyFont="1" applyFill="1" applyBorder="1" applyAlignment="1">
      <alignment horizontal="center"/>
    </xf>
    <xf numFmtId="0" fontId="137" fillId="0" borderId="0" xfId="0" applyFont="1" applyFill="1" applyBorder="1"/>
    <xf numFmtId="0" fontId="137" fillId="0" borderId="13" xfId="0" applyFont="1" applyFill="1" applyBorder="1" applyAlignment="1">
      <alignment horizontal="center"/>
    </xf>
    <xf numFmtId="0" fontId="131" fillId="0" borderId="54" xfId="0" applyFont="1" applyFill="1" applyBorder="1"/>
    <xf numFmtId="0" fontId="132" fillId="0" borderId="30" xfId="0" applyFont="1" applyFill="1" applyBorder="1"/>
    <xf numFmtId="10" fontId="132" fillId="0" borderId="30" xfId="0" applyNumberFormat="1" applyFont="1" applyFill="1" applyBorder="1" applyAlignment="1">
      <alignment horizontal="center"/>
    </xf>
    <xf numFmtId="6" fontId="131" fillId="0" borderId="58" xfId="0" applyNumberFormat="1" applyFont="1" applyFill="1" applyBorder="1" applyAlignment="1">
      <alignment horizontal="center"/>
    </xf>
    <xf numFmtId="0" fontId="131" fillId="39" borderId="65" xfId="0" applyFont="1" applyFill="1" applyBorder="1"/>
    <xf numFmtId="0" fontId="131" fillId="39" borderId="32" xfId="0" applyFont="1" applyFill="1" applyBorder="1"/>
    <xf numFmtId="6" fontId="131" fillId="39" borderId="77" xfId="0" applyNumberFormat="1" applyFont="1" applyFill="1" applyBorder="1" applyAlignment="1">
      <alignment horizontal="center"/>
    </xf>
    <xf numFmtId="166" fontId="132" fillId="0" borderId="34" xfId="0" applyNumberFormat="1" applyFont="1" applyFill="1" applyBorder="1" applyAlignment="1">
      <alignment horizontal="center"/>
    </xf>
    <xf numFmtId="166" fontId="133" fillId="0" borderId="34" xfId="0" applyNumberFormat="1" applyFont="1" applyFill="1" applyBorder="1" applyAlignment="1">
      <alignment horizontal="center"/>
    </xf>
    <xf numFmtId="0" fontId="137" fillId="0" borderId="51" xfId="0" applyFont="1" applyFill="1" applyBorder="1"/>
    <xf numFmtId="165" fontId="135" fillId="0" borderId="52" xfId="0" applyNumberFormat="1" applyFont="1" applyFill="1" applyBorder="1" applyAlignment="1">
      <alignment horizontal="center"/>
    </xf>
    <xf numFmtId="165" fontId="135" fillId="0" borderId="0" xfId="0" applyNumberFormat="1" applyFont="1" applyFill="1" applyBorder="1" applyAlignment="1">
      <alignment horizontal="center"/>
    </xf>
    <xf numFmtId="0" fontId="137" fillId="0" borderId="13" xfId="0" applyFont="1" applyFill="1" applyBorder="1" applyAlignment="1"/>
    <xf numFmtId="0" fontId="135" fillId="0" borderId="54" xfId="0" applyFont="1" applyFill="1" applyBorder="1"/>
    <xf numFmtId="0" fontId="137" fillId="0" borderId="30" xfId="0" applyFont="1" applyFill="1" applyBorder="1"/>
    <xf numFmtId="6" fontId="135" fillId="0" borderId="58" xfId="0" applyNumberFormat="1" applyFont="1" applyFill="1" applyBorder="1" applyAlignment="1">
      <alignment horizontal="center"/>
    </xf>
    <xf numFmtId="0" fontId="131" fillId="0" borderId="61" xfId="0" applyFont="1" applyFill="1" applyBorder="1"/>
    <xf numFmtId="10" fontId="132" fillId="39" borderId="0" xfId="0" applyNumberFormat="1" applyFont="1" applyFill="1" applyBorder="1"/>
    <xf numFmtId="8" fontId="132" fillId="39" borderId="13" xfId="0" applyNumberFormat="1" applyFont="1" applyFill="1" applyBorder="1" applyAlignment="1">
      <alignment horizontal="center"/>
    </xf>
    <xf numFmtId="8" fontId="132" fillId="0" borderId="0" xfId="0" applyNumberFormat="1" applyFont="1" applyFill="1" applyBorder="1" applyAlignment="1">
      <alignment horizontal="center"/>
    </xf>
    <xf numFmtId="166" fontId="132" fillId="0" borderId="34" xfId="0" applyNumberFormat="1" applyFont="1" applyBorder="1"/>
    <xf numFmtId="166" fontId="133" fillId="0" borderId="34" xfId="0" applyNumberFormat="1" applyFont="1" applyBorder="1"/>
    <xf numFmtId="0" fontId="131" fillId="0" borderId="3" xfId="0" applyFont="1" applyFill="1" applyBorder="1"/>
    <xf numFmtId="0" fontId="137" fillId="0" borderId="5" xfId="0" applyFont="1" applyFill="1" applyBorder="1"/>
    <xf numFmtId="0" fontId="135" fillId="0" borderId="5" xfId="0" applyFont="1" applyFill="1" applyBorder="1" applyAlignment="1">
      <alignment horizontal="center"/>
    </xf>
    <xf numFmtId="165" fontId="135" fillId="0" borderId="6" xfId="0" applyNumberFormat="1" applyFont="1" applyFill="1" applyBorder="1" applyAlignment="1">
      <alignment horizontal="center"/>
    </xf>
    <xf numFmtId="0" fontId="135" fillId="0" borderId="8" xfId="0" applyFont="1" applyFill="1" applyBorder="1"/>
    <xf numFmtId="6" fontId="135" fillId="0" borderId="13" xfId="0" applyNumberFormat="1" applyFont="1" applyFill="1" applyBorder="1" applyAlignment="1">
      <alignment horizontal="center"/>
    </xf>
    <xf numFmtId="6" fontId="0" fillId="0" borderId="0" xfId="0" applyNumberFormat="1"/>
    <xf numFmtId="0" fontId="137" fillId="0" borderId="62" xfId="0" applyFont="1" applyFill="1" applyBorder="1"/>
    <xf numFmtId="6" fontId="135" fillId="0" borderId="63" xfId="0" applyNumberFormat="1" applyFont="1" applyFill="1" applyBorder="1" applyAlignment="1">
      <alignment horizontal="center"/>
    </xf>
    <xf numFmtId="8" fontId="132" fillId="0" borderId="13" xfId="0" applyNumberFormat="1" applyFont="1" applyFill="1" applyBorder="1" applyAlignment="1">
      <alignment horizontal="center"/>
    </xf>
    <xf numFmtId="0" fontId="137" fillId="39" borderId="8" xfId="0" applyFont="1" applyFill="1" applyBorder="1"/>
    <xf numFmtId="165" fontId="132" fillId="39" borderId="0" xfId="0" applyNumberFormat="1" applyFont="1" applyFill="1" applyBorder="1"/>
    <xf numFmtId="165" fontId="132" fillId="39" borderId="13" xfId="0" applyNumberFormat="1" applyFont="1" applyFill="1" applyBorder="1" applyAlignment="1">
      <alignment horizontal="center"/>
    </xf>
    <xf numFmtId="165" fontId="135" fillId="0" borderId="13" xfId="0" applyNumberFormat="1" applyFont="1" applyFill="1" applyBorder="1" applyAlignment="1">
      <alignment horizontal="center"/>
    </xf>
    <xf numFmtId="5" fontId="137" fillId="0" borderId="13" xfId="55" applyNumberFormat="1" applyFont="1" applyFill="1" applyBorder="1" applyAlignment="1">
      <alignment horizontal="center"/>
    </xf>
    <xf numFmtId="165" fontId="132" fillId="0" borderId="13" xfId="0" applyNumberFormat="1" applyFont="1" applyFill="1" applyBorder="1" applyAlignment="1">
      <alignment horizontal="center"/>
    </xf>
    <xf numFmtId="0" fontId="132" fillId="0" borderId="51" xfId="0" applyFont="1" applyFill="1" applyBorder="1"/>
    <xf numFmtId="0" fontId="132" fillId="0" borderId="51" xfId="0" applyFont="1" applyFill="1" applyBorder="1" applyAlignment="1">
      <alignment horizontal="center"/>
    </xf>
    <xf numFmtId="6" fontId="132" fillId="0" borderId="52" xfId="0" applyNumberFormat="1" applyFont="1" applyFill="1" applyBorder="1" applyAlignment="1">
      <alignment horizontal="center"/>
    </xf>
    <xf numFmtId="165" fontId="135" fillId="0" borderId="63" xfId="0" applyNumberFormat="1" applyFont="1" applyFill="1" applyBorder="1" applyAlignment="1">
      <alignment horizontal="center"/>
    </xf>
    <xf numFmtId="10" fontId="137" fillId="0" borderId="0" xfId="0" applyNumberFormat="1" applyFont="1" applyFill="1" applyBorder="1"/>
    <xf numFmtId="8" fontId="137" fillId="0" borderId="13" xfId="0" applyNumberFormat="1" applyFont="1" applyFill="1" applyBorder="1" applyAlignment="1">
      <alignment horizontal="center"/>
    </xf>
    <xf numFmtId="5" fontId="137" fillId="0" borderId="13" xfId="0" applyNumberFormat="1" applyFont="1" applyFill="1" applyBorder="1" applyAlignment="1">
      <alignment horizontal="center"/>
    </xf>
    <xf numFmtId="0" fontId="132" fillId="0" borderId="59" xfId="0" applyFont="1" applyFill="1" applyBorder="1"/>
    <xf numFmtId="10" fontId="132" fillId="0" borderId="43" xfId="193" applyNumberFormat="1" applyFont="1" applyFill="1" applyBorder="1" applyAlignment="1">
      <alignment horizontal="center"/>
    </xf>
    <xf numFmtId="0" fontId="132" fillId="0" borderId="43" xfId="0" applyFont="1" applyFill="1" applyBorder="1"/>
    <xf numFmtId="165" fontId="132" fillId="0" borderId="60" xfId="0" applyNumberFormat="1" applyFont="1" applyFill="1" applyBorder="1" applyAlignment="1">
      <alignment horizontal="center"/>
    </xf>
    <xf numFmtId="165" fontId="132" fillId="39" borderId="13" xfId="84" applyNumberFormat="1" applyFont="1" applyFill="1" applyBorder="1" applyAlignment="1">
      <alignment horizontal="center"/>
    </xf>
    <xf numFmtId="0" fontId="132" fillId="0" borderId="0" xfId="0" applyFont="1" applyFill="1" applyBorder="1" applyAlignment="1"/>
    <xf numFmtId="0" fontId="132" fillId="0" borderId="13" xfId="0" applyFont="1" applyFill="1" applyBorder="1"/>
    <xf numFmtId="165" fontId="137" fillId="0" borderId="13" xfId="0" applyNumberFormat="1" applyFont="1" applyFill="1" applyBorder="1" applyAlignment="1">
      <alignment horizontal="center"/>
    </xf>
    <xf numFmtId="165" fontId="137" fillId="0" borderId="0" xfId="0" applyNumberFormat="1" applyFont="1" applyFill="1" applyBorder="1" applyAlignment="1">
      <alignment horizontal="center"/>
    </xf>
    <xf numFmtId="0" fontId="131" fillId="0" borderId="8" xfId="0" applyFont="1" applyFill="1" applyBorder="1"/>
    <xf numFmtId="6" fontId="131" fillId="0" borderId="13" xfId="0" applyNumberFormat="1" applyFont="1" applyFill="1" applyBorder="1" applyAlignment="1">
      <alignment horizontal="center"/>
    </xf>
    <xf numFmtId="0" fontId="132" fillId="0" borderId="30" xfId="0" applyFont="1" applyFill="1" applyBorder="1" applyAlignment="1"/>
    <xf numFmtId="0" fontId="137" fillId="0" borderId="59" xfId="0" applyFont="1" applyFill="1" applyBorder="1"/>
    <xf numFmtId="10" fontId="132" fillId="0" borderId="43" xfId="0" applyNumberFormat="1" applyFont="1" applyFill="1" applyBorder="1" applyAlignment="1">
      <alignment horizontal="center"/>
    </xf>
    <xf numFmtId="6" fontId="132" fillId="0" borderId="60" xfId="0" applyNumberFormat="1" applyFont="1" applyFill="1" applyBorder="1" applyAlignment="1">
      <alignment horizontal="center"/>
    </xf>
    <xf numFmtId="0" fontId="132" fillId="39" borderId="59" xfId="0" applyFont="1" applyFill="1" applyBorder="1"/>
    <xf numFmtId="0" fontId="132" fillId="39" borderId="43" xfId="0" applyFont="1" applyFill="1" applyBorder="1"/>
    <xf numFmtId="165" fontId="132" fillId="39" borderId="60" xfId="0" applyNumberFormat="1" applyFont="1" applyFill="1" applyBorder="1" applyAlignment="1">
      <alignment horizontal="center"/>
    </xf>
    <xf numFmtId="0" fontId="132" fillId="0" borderId="32" xfId="0" applyFont="1" applyFill="1" applyBorder="1" applyAlignment="1"/>
    <xf numFmtId="0" fontId="132" fillId="0" borderId="32" xfId="0" applyFont="1" applyFill="1" applyBorder="1"/>
    <xf numFmtId="6" fontId="132" fillId="0" borderId="77" xfId="0" applyNumberFormat="1" applyFont="1" applyFill="1" applyBorder="1" applyAlignment="1">
      <alignment horizontal="center"/>
    </xf>
    <xf numFmtId="167" fontId="0" fillId="0" borderId="0" xfId="1" applyNumberFormat="1" applyFont="1" applyFill="1"/>
    <xf numFmtId="10" fontId="132" fillId="0" borderId="0" xfId="0" applyNumberFormat="1" applyFont="1" applyFill="1" applyBorder="1" applyAlignment="1">
      <alignment horizontal="center"/>
    </xf>
    <xf numFmtId="0" fontId="131" fillId="39" borderId="8" xfId="0" applyFont="1" applyFill="1" applyBorder="1"/>
    <xf numFmtId="0" fontId="132" fillId="0" borderId="0" xfId="0" applyFont="1" applyBorder="1"/>
    <xf numFmtId="165" fontId="132" fillId="0" borderId="13" xfId="0" applyNumberFormat="1" applyFont="1" applyBorder="1" applyAlignment="1">
      <alignment horizontal="center"/>
    </xf>
    <xf numFmtId="0" fontId="127" fillId="48" borderId="34" xfId="122" applyFont="1" applyFill="1" applyBorder="1" applyAlignment="1">
      <alignment horizontal="center"/>
    </xf>
    <xf numFmtId="0" fontId="128" fillId="48" borderId="34" xfId="122" applyFont="1" applyFill="1" applyBorder="1" applyAlignment="1">
      <alignment horizontal="center"/>
    </xf>
    <xf numFmtId="165" fontId="132" fillId="0" borderId="8" xfId="0" applyNumberFormat="1" applyFont="1" applyFill="1" applyBorder="1" applyAlignment="1">
      <alignment wrapText="1"/>
    </xf>
    <xf numFmtId="165" fontId="132" fillId="0" borderId="0" xfId="0" applyNumberFormat="1" applyFont="1" applyBorder="1"/>
    <xf numFmtId="167" fontId="0" fillId="0" borderId="0" xfId="1" applyNumberFormat="1" applyFont="1" applyFill="1" applyBorder="1"/>
    <xf numFmtId="0" fontId="137" fillId="39" borderId="59" xfId="0" applyFont="1" applyFill="1" applyBorder="1"/>
    <xf numFmtId="10" fontId="132" fillId="39" borderId="43" xfId="0" applyNumberFormat="1" applyFont="1" applyFill="1" applyBorder="1"/>
    <xf numFmtId="6" fontId="132" fillId="39" borderId="60" xfId="0" applyNumberFormat="1" applyFont="1" applyFill="1" applyBorder="1" applyAlignment="1">
      <alignment horizontal="center"/>
    </xf>
    <xf numFmtId="5" fontId="132" fillId="0" borderId="13" xfId="0" applyNumberFormat="1" applyFont="1" applyBorder="1" applyAlignment="1">
      <alignment horizontal="center"/>
    </xf>
    <xf numFmtId="0" fontId="132" fillId="50" borderId="34" xfId="0" applyNumberFormat="1" applyFont="1" applyFill="1" applyBorder="1" applyAlignment="1">
      <alignment horizontal="center" vertical="center"/>
    </xf>
    <xf numFmtId="0" fontId="132" fillId="0" borderId="34" xfId="0" applyNumberFormat="1" applyFont="1" applyFill="1" applyBorder="1" applyAlignment="1">
      <alignment horizontal="center" vertical="center"/>
    </xf>
    <xf numFmtId="0" fontId="132" fillId="0" borderId="34" xfId="122" applyNumberFormat="1" applyFont="1" applyFill="1" applyBorder="1" applyAlignment="1">
      <alignment horizontal="center" vertical="center"/>
    </xf>
    <xf numFmtId="0" fontId="133" fillId="0" borderId="34" xfId="0" applyNumberFormat="1" applyFont="1" applyFill="1" applyBorder="1" applyAlignment="1">
      <alignment horizontal="center" vertical="center"/>
    </xf>
    <xf numFmtId="0" fontId="129" fillId="0" borderId="34" xfId="122" applyFont="1" applyFill="1" applyBorder="1" applyAlignment="1">
      <alignment horizontal="left"/>
    </xf>
    <xf numFmtId="165" fontId="132" fillId="0" borderId="43" xfId="0" applyNumberFormat="1" applyFont="1" applyBorder="1"/>
    <xf numFmtId="165" fontId="137" fillId="0" borderId="60" xfId="0" applyNumberFormat="1" applyFont="1" applyFill="1" applyBorder="1" applyAlignment="1">
      <alignment horizontal="center"/>
    </xf>
    <xf numFmtId="0" fontId="137" fillId="0" borderId="8" xfId="0" applyFont="1" applyFill="1" applyBorder="1" applyAlignment="1">
      <alignment wrapText="1"/>
    </xf>
    <xf numFmtId="167" fontId="0" fillId="0" borderId="0" xfId="1" applyNumberFormat="1" applyFont="1" applyBorder="1"/>
    <xf numFmtId="0" fontId="132" fillId="39" borderId="32" xfId="0" applyFont="1" applyFill="1" applyBorder="1"/>
    <xf numFmtId="6" fontId="132" fillId="39" borderId="77" xfId="0" applyNumberFormat="1" applyFont="1" applyFill="1" applyBorder="1" applyAlignment="1">
      <alignment horizontal="center"/>
    </xf>
    <xf numFmtId="0" fontId="137" fillId="0" borderId="43" xfId="0" applyFont="1" applyBorder="1"/>
    <xf numFmtId="165" fontId="137" fillId="0" borderId="60" xfId="0" applyNumberFormat="1" applyFont="1" applyBorder="1" applyAlignment="1">
      <alignment horizontal="center"/>
    </xf>
    <xf numFmtId="5" fontId="138" fillId="0" borderId="13" xfId="84" applyNumberFormat="1" applyFont="1" applyFill="1" applyBorder="1" applyAlignment="1">
      <alignment horizontal="center"/>
    </xf>
    <xf numFmtId="0" fontId="132" fillId="0" borderId="65" xfId="0" applyFont="1" applyFill="1" applyBorder="1"/>
    <xf numFmtId="7" fontId="132" fillId="0" borderId="13" xfId="55" applyNumberFormat="1" applyFont="1" applyFill="1" applyBorder="1" applyAlignment="1">
      <alignment horizontal="center"/>
    </xf>
    <xf numFmtId="7" fontId="132" fillId="0" borderId="0" xfId="55" applyNumberFormat="1" applyFont="1" applyFill="1" applyBorder="1" applyAlignment="1">
      <alignment horizontal="center"/>
    </xf>
    <xf numFmtId="10" fontId="132" fillId="39" borderId="56" xfId="0" applyNumberFormat="1" applyFont="1" applyFill="1" applyBorder="1"/>
    <xf numFmtId="0" fontId="132" fillId="39" borderId="56" xfId="0" applyFont="1" applyFill="1" applyBorder="1"/>
    <xf numFmtId="6" fontId="132" fillId="39" borderId="57" xfId="0" applyNumberFormat="1" applyFont="1" applyFill="1" applyBorder="1" applyAlignment="1">
      <alignment horizontal="center"/>
    </xf>
    <xf numFmtId="0" fontId="133" fillId="0" borderId="34" xfId="122" applyNumberFormat="1" applyFont="1" applyFill="1" applyBorder="1" applyAlignment="1">
      <alignment horizontal="center" vertical="center"/>
    </xf>
    <xf numFmtId="10" fontId="132" fillId="0" borderId="43" xfId="0" applyNumberFormat="1" applyFont="1" applyFill="1" applyBorder="1"/>
    <xf numFmtId="10" fontId="137" fillId="0" borderId="43" xfId="173" applyNumberFormat="1" applyFont="1" applyFill="1" applyBorder="1"/>
    <xf numFmtId="0" fontId="137" fillId="0" borderId="12" xfId="0" applyFont="1" applyFill="1" applyBorder="1"/>
    <xf numFmtId="10" fontId="137" fillId="0" borderId="84" xfId="0" applyNumberFormat="1" applyFont="1" applyFill="1" applyBorder="1"/>
    <xf numFmtId="10" fontId="135" fillId="0" borderId="84" xfId="0" applyNumberFormat="1" applyFont="1" applyBorder="1"/>
    <xf numFmtId="44" fontId="135" fillId="32" borderId="85" xfId="84" applyNumberFormat="1" applyFont="1" applyFill="1" applyBorder="1" applyAlignment="1"/>
    <xf numFmtId="44" fontId="135" fillId="0" borderId="0" xfId="84" applyNumberFormat="1" applyFont="1" applyFill="1" applyBorder="1" applyAlignment="1"/>
    <xf numFmtId="5" fontId="132" fillId="0" borderId="0" xfId="84" applyNumberFormat="1" applyFont="1" applyFill="1" applyBorder="1" applyAlignment="1">
      <alignment horizontal="center"/>
    </xf>
    <xf numFmtId="165" fontId="131" fillId="0" borderId="58" xfId="0" applyNumberFormat="1" applyFont="1" applyFill="1" applyBorder="1" applyAlignment="1">
      <alignment horizontal="center"/>
    </xf>
    <xf numFmtId="165" fontId="131" fillId="0" borderId="0" xfId="0" applyNumberFormat="1" applyFont="1" applyFill="1" applyBorder="1" applyAlignment="1">
      <alignment horizontal="center"/>
    </xf>
    <xf numFmtId="10" fontId="137" fillId="0" borderId="43" xfId="0" applyNumberFormat="1" applyFont="1" applyFill="1" applyBorder="1"/>
    <xf numFmtId="0" fontId="137" fillId="0" borderId="43" xfId="0" applyFont="1" applyFill="1" applyBorder="1"/>
    <xf numFmtId="6" fontId="137" fillId="0" borderId="60" xfId="0" applyNumberFormat="1" applyFont="1" applyFill="1" applyBorder="1" applyAlignment="1">
      <alignment horizontal="center"/>
    </xf>
    <xf numFmtId="44" fontId="41" fillId="0" borderId="0" xfId="55" applyFont="1"/>
    <xf numFmtId="0" fontId="41" fillId="0" borderId="0" xfId="0" applyFont="1"/>
    <xf numFmtId="0" fontId="132" fillId="39" borderId="65" xfId="0" applyFont="1" applyFill="1" applyBorder="1"/>
    <xf numFmtId="0" fontId="131" fillId="0" borderId="0" xfId="0" applyFont="1" applyFill="1" applyBorder="1"/>
    <xf numFmtId="165" fontId="131" fillId="0" borderId="13" xfId="0" applyNumberFormat="1" applyFont="1" applyFill="1" applyBorder="1" applyAlignment="1">
      <alignment horizontal="center"/>
    </xf>
    <xf numFmtId="0" fontId="137" fillId="0" borderId="135" xfId="0" applyFont="1" applyFill="1" applyBorder="1"/>
    <xf numFmtId="6" fontId="137" fillId="0" borderId="136" xfId="0" applyNumberFormat="1" applyFont="1" applyFill="1" applyBorder="1" applyAlignment="1">
      <alignment horizontal="center"/>
    </xf>
    <xf numFmtId="5" fontId="138" fillId="0" borderId="60" xfId="84" applyNumberFormat="1" applyFont="1" applyFill="1" applyBorder="1" applyAlignment="1">
      <alignment horizontal="center"/>
    </xf>
    <xf numFmtId="8" fontId="0" fillId="0" borderId="0" xfId="0" applyNumberFormat="1"/>
    <xf numFmtId="0" fontId="132" fillId="39" borderId="78" xfId="0" applyFont="1" applyFill="1" applyBorder="1"/>
    <xf numFmtId="10" fontId="132" fillId="39" borderId="84" xfId="0" applyNumberFormat="1" applyFont="1" applyFill="1" applyBorder="1"/>
    <xf numFmtId="0" fontId="132" fillId="39" borderId="84" xfId="0" applyFont="1" applyFill="1" applyBorder="1"/>
    <xf numFmtId="5" fontId="132" fillId="39" borderId="85" xfId="84" applyNumberFormat="1" applyFont="1" applyFill="1" applyBorder="1" applyAlignment="1">
      <alignment horizontal="center"/>
    </xf>
    <xf numFmtId="0" fontId="132" fillId="0" borderId="34" xfId="0" applyNumberFormat="1" applyFont="1" applyBorder="1" applyAlignment="1">
      <alignment horizontal="center" vertical="center"/>
    </xf>
    <xf numFmtId="6" fontId="137" fillId="0" borderId="13" xfId="0" applyNumberFormat="1" applyFont="1" applyFill="1" applyBorder="1" applyAlignment="1">
      <alignment horizontal="center"/>
    </xf>
    <xf numFmtId="166" fontId="41" fillId="39" borderId="0" xfId="55" applyNumberFormat="1" applyFont="1" applyFill="1"/>
    <xf numFmtId="0" fontId="137" fillId="0" borderId="78" xfId="0" applyFont="1" applyFill="1" applyBorder="1"/>
    <xf numFmtId="10" fontId="132" fillId="0" borderId="84" xfId="0" applyNumberFormat="1" applyFont="1" applyFill="1" applyBorder="1"/>
    <xf numFmtId="10" fontId="137" fillId="0" borderId="84" xfId="173" applyNumberFormat="1" applyFont="1" applyFill="1" applyBorder="1"/>
    <xf numFmtId="165" fontId="137" fillId="32" borderId="85" xfId="0" applyNumberFormat="1" applyFont="1" applyFill="1" applyBorder="1" applyAlignment="1">
      <alignment horizontal="center"/>
    </xf>
    <xf numFmtId="0" fontId="137" fillId="0" borderId="32" xfId="0" applyFont="1" applyFill="1" applyBorder="1"/>
    <xf numFmtId="165" fontId="135" fillId="0" borderId="77" xfId="0" applyNumberFormat="1" applyFont="1" applyFill="1" applyBorder="1" applyAlignment="1">
      <alignment horizontal="center"/>
    </xf>
    <xf numFmtId="2" fontId="0" fillId="0" borderId="0" xfId="0" applyNumberFormat="1"/>
    <xf numFmtId="8" fontId="0" fillId="39" borderId="0" xfId="0" applyNumberFormat="1" applyFill="1"/>
    <xf numFmtId="10" fontId="0" fillId="39" borderId="0" xfId="173" applyNumberFormat="1" applyFont="1" applyFill="1"/>
    <xf numFmtId="0" fontId="133" fillId="0" borderId="34" xfId="0" applyNumberFormat="1" applyFont="1" applyBorder="1" applyAlignment="1">
      <alignment horizontal="center" vertical="center"/>
    </xf>
    <xf numFmtId="44" fontId="1" fillId="0" borderId="0" xfId="84" applyFont="1"/>
    <xf numFmtId="0" fontId="137" fillId="0" borderId="65" xfId="0" applyFont="1" applyFill="1" applyBorder="1"/>
    <xf numFmtId="165" fontId="137" fillId="0" borderId="77" xfId="0" applyNumberFormat="1" applyFont="1" applyFill="1" applyBorder="1" applyAlignment="1">
      <alignment horizontal="center"/>
    </xf>
    <xf numFmtId="0" fontId="137" fillId="0" borderId="32" xfId="0" applyFont="1" applyFill="1" applyBorder="1" applyAlignment="1">
      <alignment horizontal="center"/>
    </xf>
    <xf numFmtId="6" fontId="135" fillId="0" borderId="77" xfId="0" applyNumberFormat="1" applyFont="1" applyFill="1" applyBorder="1" applyAlignment="1">
      <alignment horizontal="center"/>
    </xf>
    <xf numFmtId="5" fontId="0" fillId="0" borderId="0" xfId="0" applyNumberFormat="1"/>
    <xf numFmtId="10" fontId="132" fillId="0" borderId="32" xfId="0" applyNumberFormat="1" applyFont="1" applyFill="1" applyBorder="1"/>
    <xf numFmtId="10" fontId="137" fillId="0" borderId="9" xfId="0" applyNumberFormat="1" applyFont="1" applyFill="1" applyBorder="1"/>
    <xf numFmtId="0" fontId="137" fillId="0" borderId="9" xfId="0" applyFont="1" applyFill="1" applyBorder="1"/>
    <xf numFmtId="6" fontId="135" fillId="32" borderId="10" xfId="0" applyNumberFormat="1" applyFont="1" applyFill="1" applyBorder="1" applyAlignment="1">
      <alignment horizontal="center"/>
    </xf>
    <xf numFmtId="10" fontId="137" fillId="0" borderId="0" xfId="0" applyNumberFormat="1" applyFont="1" applyFill="1" applyBorder="1" applyAlignment="1">
      <alignment horizontal="center"/>
    </xf>
    <xf numFmtId="43" fontId="0" fillId="0" borderId="0" xfId="0" applyNumberFormat="1"/>
    <xf numFmtId="0" fontId="137" fillId="0" borderId="0" xfId="0" applyFont="1"/>
    <xf numFmtId="166" fontId="137" fillId="0" borderId="0" xfId="55" applyNumberFormat="1" applyFont="1"/>
    <xf numFmtId="167" fontId="0" fillId="0" borderId="0" xfId="0" applyNumberFormat="1"/>
    <xf numFmtId="7" fontId="0" fillId="0" borderId="0" xfId="0" applyNumberFormat="1"/>
    <xf numFmtId="9" fontId="132" fillId="0" borderId="0" xfId="0" applyNumberFormat="1" applyFont="1" applyFill="1" applyBorder="1" applyAlignment="1">
      <alignment horizontal="center"/>
    </xf>
    <xf numFmtId="165" fontId="0" fillId="0" borderId="0" xfId="0" applyNumberFormat="1"/>
    <xf numFmtId="0" fontId="135" fillId="0" borderId="0" xfId="0" applyFont="1" applyBorder="1"/>
    <xf numFmtId="10" fontId="137" fillId="0" borderId="0" xfId="173" applyNumberFormat="1" applyFont="1"/>
    <xf numFmtId="164" fontId="132" fillId="0" borderId="13" xfId="0" applyNumberFormat="1" applyFont="1" applyBorder="1" applyAlignment="1">
      <alignment horizontal="center"/>
    </xf>
    <xf numFmtId="7" fontId="137" fillId="0" borderId="0" xfId="55" applyNumberFormat="1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32" fillId="0" borderId="78" xfId="0" applyFont="1" applyBorder="1"/>
    <xf numFmtId="0" fontId="132" fillId="0" borderId="84" xfId="0" applyFont="1" applyBorder="1"/>
    <xf numFmtId="7" fontId="131" fillId="32" borderId="85" xfId="84" applyNumberFormat="1" applyFont="1" applyFill="1" applyBorder="1" applyAlignment="1">
      <alignment horizontal="center"/>
    </xf>
    <xf numFmtId="7" fontId="137" fillId="0" borderId="0" xfId="84" applyNumberFormat="1" applyFont="1" applyFill="1" applyBorder="1" applyAlignment="1">
      <alignment horizontal="center"/>
    </xf>
    <xf numFmtId="0" fontId="137" fillId="0" borderId="0" xfId="84" applyNumberFormat="1" applyFont="1" applyFill="1" applyBorder="1" applyAlignment="1">
      <alignment horizontal="center"/>
    </xf>
    <xf numFmtId="5" fontId="137" fillId="0" borderId="13" xfId="84" applyNumberFormat="1" applyFont="1" applyFill="1" applyBorder="1" applyAlignment="1">
      <alignment horizontal="center"/>
    </xf>
    <xf numFmtId="167" fontId="0" fillId="0" borderId="0" xfId="1" applyNumberFormat="1" applyFont="1" applyAlignment="1">
      <alignment horizontal="left" vertical="top"/>
    </xf>
    <xf numFmtId="167" fontId="137" fillId="0" borderId="0" xfId="1" applyNumberFormat="1" applyFont="1" applyFill="1" applyBorder="1"/>
    <xf numFmtId="44" fontId="137" fillId="0" borderId="0" xfId="84" applyFont="1" applyFill="1" applyBorder="1" applyAlignment="1">
      <alignment horizontal="center"/>
    </xf>
    <xf numFmtId="9" fontId="1" fillId="0" borderId="0" xfId="193" applyFont="1"/>
    <xf numFmtId="10" fontId="137" fillId="0" borderId="0" xfId="193" applyNumberFormat="1" applyFont="1" applyFill="1" applyBorder="1"/>
    <xf numFmtId="0" fontId="127" fillId="48" borderId="44" xfId="122" applyFont="1" applyFill="1" applyBorder="1" applyAlignment="1">
      <alignment horizontal="center"/>
    </xf>
    <xf numFmtId="0" fontId="128" fillId="48" borderId="28" xfId="122" applyFont="1" applyFill="1" applyBorder="1" applyAlignment="1">
      <alignment horizontal="center"/>
    </xf>
    <xf numFmtId="0" fontId="129" fillId="48" borderId="28" xfId="122" applyFont="1" applyFill="1" applyBorder="1" applyAlignment="1">
      <alignment horizontal="left"/>
    </xf>
    <xf numFmtId="4" fontId="137" fillId="0" borderId="78" xfId="0" applyNumberFormat="1" applyFont="1" applyFill="1" applyBorder="1"/>
    <xf numFmtId="0" fontId="135" fillId="0" borderId="84" xfId="0" applyFont="1" applyFill="1" applyBorder="1"/>
    <xf numFmtId="6" fontId="135" fillId="32" borderId="85" xfId="0" applyNumberFormat="1" applyFont="1" applyFill="1" applyBorder="1" applyAlignment="1">
      <alignment horizontal="center"/>
    </xf>
    <xf numFmtId="166" fontId="132" fillId="50" borderId="34" xfId="0" applyNumberFormat="1" applyFont="1" applyFill="1" applyBorder="1"/>
    <xf numFmtId="166" fontId="132" fillId="50" borderId="34" xfId="2" applyNumberFormat="1" applyFont="1" applyFill="1" applyBorder="1"/>
    <xf numFmtId="166" fontId="133" fillId="50" borderId="34" xfId="2" applyNumberFormat="1" applyFont="1" applyFill="1" applyBorder="1"/>
    <xf numFmtId="0" fontId="136" fillId="50" borderId="34" xfId="0" applyFont="1" applyFill="1" applyBorder="1" applyAlignment="1">
      <alignment horizontal="left" vertical="center" wrapText="1"/>
    </xf>
    <xf numFmtId="10" fontId="1" fillId="0" borderId="0" xfId="193" applyNumberFormat="1" applyFont="1"/>
    <xf numFmtId="166" fontId="41" fillId="0" borderId="0" xfId="55" applyNumberFormat="1" applyFont="1"/>
    <xf numFmtId="6" fontId="12" fillId="0" borderId="0" xfId="0" applyNumberFormat="1" applyFont="1" applyFill="1" applyBorder="1" applyAlignment="1">
      <alignment horizontal="center"/>
    </xf>
    <xf numFmtId="166" fontId="133" fillId="50" borderId="34" xfId="0" applyNumberFormat="1" applyFont="1" applyFill="1" applyBorder="1"/>
    <xf numFmtId="166" fontId="132" fillId="50" borderId="34" xfId="0" applyNumberFormat="1" applyFont="1" applyFill="1" applyBorder="1" applyAlignment="1">
      <alignment horizontal="center"/>
    </xf>
    <xf numFmtId="10" fontId="132" fillId="50" borderId="34" xfId="193" applyNumberFormat="1" applyFont="1" applyFill="1" applyBorder="1"/>
    <xf numFmtId="166" fontId="137" fillId="0" borderId="34" xfId="84" applyNumberFormat="1" applyFont="1" applyFill="1" applyBorder="1" applyAlignment="1">
      <alignment horizontal="center"/>
    </xf>
    <xf numFmtId="166" fontId="132" fillId="0" borderId="34" xfId="84" applyNumberFormat="1" applyFont="1" applyFill="1" applyBorder="1" applyAlignment="1">
      <alignment horizontal="center"/>
    </xf>
    <xf numFmtId="166" fontId="137" fillId="0" borderId="34" xfId="84" applyNumberFormat="1" applyFont="1" applyBorder="1"/>
    <xf numFmtId="166" fontId="137" fillId="0" borderId="34" xfId="84" applyNumberFormat="1" applyFont="1" applyFill="1" applyBorder="1"/>
    <xf numFmtId="166" fontId="133" fillId="0" borderId="34" xfId="84" applyNumberFormat="1" applyFont="1" applyFill="1" applyBorder="1"/>
    <xf numFmtId="166" fontId="132" fillId="0" borderId="34" xfId="84" applyNumberFormat="1" applyFont="1" applyFill="1" applyBorder="1"/>
    <xf numFmtId="166" fontId="138" fillId="0" borderId="34" xfId="84" applyNumberFormat="1" applyFont="1" applyFill="1" applyBorder="1" applyAlignment="1">
      <alignment horizontal="center"/>
    </xf>
    <xf numFmtId="166" fontId="133" fillId="0" borderId="34" xfId="84" applyNumberFormat="1" applyFont="1" applyFill="1" applyBorder="1" applyAlignment="1">
      <alignment horizontal="center"/>
    </xf>
    <xf numFmtId="166" fontId="132" fillId="50" borderId="0" xfId="84" applyNumberFormat="1" applyFont="1" applyFill="1"/>
    <xf numFmtId="166" fontId="133" fillId="50" borderId="0" xfId="84" applyNumberFormat="1" applyFont="1" applyFill="1"/>
    <xf numFmtId="0" fontId="0" fillId="0" borderId="47" xfId="0" applyBorder="1"/>
    <xf numFmtId="9" fontId="137" fillId="50" borderId="0" xfId="173" applyFont="1" applyFill="1" applyAlignment="1"/>
    <xf numFmtId="0" fontId="137" fillId="50" borderId="0" xfId="0" applyFont="1" applyFill="1" applyAlignment="1"/>
    <xf numFmtId="0" fontId="133" fillId="50" borderId="0" xfId="0" applyFont="1" applyFill="1" applyAlignment="1"/>
    <xf numFmtId="0" fontId="137" fillId="0" borderId="0" xfId="0" applyFont="1" applyBorder="1" applyAlignment="1">
      <alignment horizontal="center"/>
    </xf>
    <xf numFmtId="0" fontId="137" fillId="0" borderId="28" xfId="0" applyFont="1" applyBorder="1" applyAlignment="1">
      <alignment horizontal="center"/>
    </xf>
    <xf numFmtId="0" fontId="133" fillId="0" borderId="28" xfId="0" applyFont="1" applyBorder="1" applyAlignment="1">
      <alignment horizontal="center"/>
    </xf>
    <xf numFmtId="0" fontId="137" fillId="0" borderId="30" xfId="0" applyFont="1" applyBorder="1" applyAlignment="1">
      <alignment horizontal="center"/>
    </xf>
    <xf numFmtId="0" fontId="137" fillId="0" borderId="49" xfId="0" applyFont="1" applyBorder="1" applyAlignment="1">
      <alignment horizontal="center"/>
    </xf>
    <xf numFmtId="0" fontId="133" fillId="0" borderId="49" xfId="0" applyFont="1" applyBorder="1" applyAlignment="1">
      <alignment horizontal="center"/>
    </xf>
    <xf numFmtId="0" fontId="5" fillId="0" borderId="0" xfId="0" applyFont="1"/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166" fontId="68" fillId="0" borderId="47" xfId="55" applyNumberFormat="1" applyFont="1" applyFill="1" applyBorder="1"/>
    <xf numFmtId="10" fontId="67" fillId="0" borderId="56" xfId="193" applyNumberFormat="1" applyFont="1" applyFill="1" applyBorder="1" applyAlignment="1">
      <alignment horizontal="center"/>
    </xf>
    <xf numFmtId="166" fontId="75" fillId="0" borderId="0" xfId="55" applyNumberFormat="1" applyFont="1" applyFill="1" applyBorder="1" applyAlignment="1">
      <alignment horizontal="center"/>
    </xf>
    <xf numFmtId="166" fontId="75" fillId="0" borderId="13" xfId="4" applyNumberFormat="1" applyFont="1" applyFill="1" applyBorder="1" applyAlignment="1">
      <alignment horizontal="right"/>
    </xf>
    <xf numFmtId="170" fontId="75" fillId="0" borderId="8" xfId="0" applyNumberFormat="1" applyFont="1" applyFill="1" applyBorder="1" applyAlignment="1">
      <alignment wrapText="1"/>
    </xf>
    <xf numFmtId="166" fontId="10" fillId="0" borderId="0" xfId="55" applyNumberFormat="1" applyFont="1" applyFill="1" applyBorder="1" applyAlignment="1">
      <alignment horizontal="center"/>
    </xf>
    <xf numFmtId="2" fontId="10" fillId="0" borderId="0" xfId="4" applyNumberFormat="1" applyFont="1" applyFill="1" applyBorder="1" applyAlignment="1">
      <alignment horizontal="center"/>
    </xf>
    <xf numFmtId="166" fontId="10" fillId="0" borderId="13" xfId="4" applyNumberFormat="1" applyFont="1" applyFill="1" applyBorder="1" applyAlignment="1">
      <alignment horizontal="right"/>
    </xf>
    <xf numFmtId="0" fontId="70" fillId="0" borderId="50" xfId="0" applyFont="1" applyFill="1" applyBorder="1"/>
    <xf numFmtId="5" fontId="75" fillId="0" borderId="51" xfId="55" applyNumberFormat="1" applyFont="1" applyFill="1" applyBorder="1" applyAlignment="1">
      <alignment horizontal="center"/>
    </xf>
    <xf numFmtId="2" fontId="70" fillId="0" borderId="51" xfId="0" applyNumberFormat="1" applyFont="1" applyFill="1" applyBorder="1" applyAlignment="1">
      <alignment horizontal="center"/>
    </xf>
    <xf numFmtId="166" fontId="70" fillId="0" borderId="52" xfId="4" applyNumberFormat="1" applyFont="1" applyFill="1" applyBorder="1"/>
    <xf numFmtId="166" fontId="70" fillId="0" borderId="0" xfId="4" applyNumberFormat="1" applyFont="1" applyFill="1" applyBorder="1" applyAlignment="1">
      <alignment horizontal="center"/>
    </xf>
    <xf numFmtId="2" fontId="70" fillId="0" borderId="0" xfId="0" applyNumberFormat="1" applyFont="1" applyFill="1" applyBorder="1" applyAlignment="1">
      <alignment horizontal="center"/>
    </xf>
    <xf numFmtId="166" fontId="70" fillId="0" borderId="13" xfId="4" applyNumberFormat="1" applyFont="1" applyFill="1" applyBorder="1"/>
    <xf numFmtId="0" fontId="75" fillId="0" borderId="30" xfId="0" applyFont="1" applyFill="1" applyBorder="1" applyAlignment="1">
      <alignment horizontal="center"/>
    </xf>
    <xf numFmtId="10" fontId="75" fillId="0" borderId="30" xfId="193" applyNumberFormat="1" applyFont="1" applyFill="1" applyBorder="1" applyAlignment="1">
      <alignment horizontal="center"/>
    </xf>
    <xf numFmtId="166" fontId="75" fillId="0" borderId="58" xfId="4" applyNumberFormat="1" applyFont="1" applyFill="1" applyBorder="1"/>
    <xf numFmtId="0" fontId="75" fillId="0" borderId="59" xfId="0" applyFont="1" applyFill="1" applyBorder="1"/>
    <xf numFmtId="0" fontId="75" fillId="0" borderId="43" xfId="0" applyFont="1" applyFill="1" applyBorder="1" applyAlignment="1">
      <alignment horizontal="center"/>
    </xf>
    <xf numFmtId="166" fontId="70" fillId="0" borderId="60" xfId="4" applyNumberFormat="1" applyFont="1" applyFill="1" applyBorder="1"/>
    <xf numFmtId="0" fontId="70" fillId="0" borderId="61" xfId="0" applyFont="1" applyFill="1" applyBorder="1"/>
    <xf numFmtId="0" fontId="75" fillId="0" borderId="62" xfId="0" applyFont="1" applyFill="1" applyBorder="1" applyAlignment="1">
      <alignment horizontal="center"/>
    </xf>
    <xf numFmtId="166" fontId="70" fillId="0" borderId="63" xfId="4" applyNumberFormat="1" applyFont="1" applyFill="1" applyBorder="1"/>
    <xf numFmtId="10" fontId="75" fillId="0" borderId="0" xfId="193" applyNumberFormat="1" applyFont="1" applyFill="1" applyBorder="1" applyAlignment="1">
      <alignment horizontal="center"/>
    </xf>
    <xf numFmtId="166" fontId="75" fillId="0" borderId="13" xfId="4" applyNumberFormat="1" applyFont="1" applyFill="1" applyBorder="1"/>
    <xf numFmtId="0" fontId="70" fillId="0" borderId="8" xfId="0" applyFont="1" applyFill="1" applyBorder="1"/>
    <xf numFmtId="8" fontId="63" fillId="0" borderId="66" xfId="0" applyNumberFormat="1" applyFont="1" applyFill="1" applyBorder="1"/>
    <xf numFmtId="44" fontId="10" fillId="0" borderId="0" xfId="0" applyNumberFormat="1" applyFont="1" applyFill="1"/>
    <xf numFmtId="0" fontId="10" fillId="0" borderId="38" xfId="0" applyFont="1" applyFill="1" applyBorder="1" applyAlignment="1">
      <alignment wrapText="1"/>
    </xf>
    <xf numFmtId="8" fontId="10" fillId="0" borderId="40" xfId="0" applyNumberFormat="1" applyFont="1" applyFill="1" applyBorder="1" applyAlignment="1">
      <alignment wrapText="1"/>
    </xf>
    <xf numFmtId="0" fontId="10" fillId="0" borderId="0" xfId="0" applyFont="1" applyFill="1"/>
    <xf numFmtId="0" fontId="10" fillId="0" borderId="67" xfId="0" applyFont="1" applyFill="1" applyBorder="1"/>
    <xf numFmtId="8" fontId="10" fillId="0" borderId="34" xfId="0" applyNumberFormat="1" applyFont="1" applyFill="1" applyBorder="1" applyAlignment="1">
      <alignment wrapText="1"/>
    </xf>
    <xf numFmtId="164" fontId="10" fillId="0" borderId="71" xfId="0" applyNumberFormat="1" applyFont="1" applyFill="1" applyBorder="1"/>
    <xf numFmtId="0" fontId="10" fillId="0" borderId="34" xfId="0" applyFont="1" applyFill="1" applyBorder="1"/>
    <xf numFmtId="6" fontId="10" fillId="0" borderId="72" xfId="0" applyNumberFormat="1" applyFont="1" applyFill="1" applyBorder="1" applyAlignment="1">
      <alignment wrapText="1"/>
    </xf>
    <xf numFmtId="164" fontId="64" fillId="0" borderId="73" xfId="55" applyNumberFormat="1" applyFont="1" applyFill="1" applyBorder="1"/>
    <xf numFmtId="44" fontId="60" fillId="0" borderId="77" xfId="121" applyNumberFormat="1" applyFont="1" applyFill="1" applyBorder="1"/>
    <xf numFmtId="164" fontId="80" fillId="0" borderId="73" xfId="55" applyNumberFormat="1" applyFont="1" applyFill="1" applyBorder="1"/>
    <xf numFmtId="0" fontId="80" fillId="0" borderId="34" xfId="121" applyFont="1" applyBorder="1" applyAlignment="1">
      <alignment wrapText="1"/>
    </xf>
    <xf numFmtId="8" fontId="80" fillId="0" borderId="13" xfId="121" applyNumberFormat="1" applyFont="1" applyFill="1" applyBorder="1"/>
    <xf numFmtId="166" fontId="66" fillId="0" borderId="30" xfId="4" applyNumberFormat="1" applyFont="1" applyFill="1" applyBorder="1" applyAlignment="1">
      <alignment horizontal="center"/>
    </xf>
    <xf numFmtId="7" fontId="66" fillId="0" borderId="28" xfId="4" applyNumberFormat="1" applyFont="1" applyFill="1" applyBorder="1" applyAlignment="1">
      <alignment horizontal="center"/>
    </xf>
    <xf numFmtId="10" fontId="83" fillId="0" borderId="33" xfId="193" applyNumberFormat="1" applyFont="1" applyFill="1" applyBorder="1" applyAlignment="1">
      <alignment horizontal="center"/>
    </xf>
    <xf numFmtId="10" fontId="83" fillId="0" borderId="72" xfId="193" applyNumberFormat="1" applyFont="1" applyFill="1" applyBorder="1" applyAlignment="1">
      <alignment horizontal="center"/>
    </xf>
    <xf numFmtId="10" fontId="67" fillId="0" borderId="33" xfId="193" applyNumberFormat="1" applyFont="1" applyFill="1" applyBorder="1" applyAlignment="1">
      <alignment horizontal="center"/>
    </xf>
    <xf numFmtId="10" fontId="67" fillId="0" borderId="72" xfId="193" applyNumberFormat="1" applyFont="1" applyFill="1" applyBorder="1" applyAlignment="1">
      <alignment horizontal="center"/>
    </xf>
    <xf numFmtId="166" fontId="66" fillId="0" borderId="0" xfId="55" applyNumberFormat="1" applyFont="1" applyFill="1" applyBorder="1" applyAlignment="1">
      <alignment horizontal="center"/>
    </xf>
    <xf numFmtId="173" fontId="66" fillId="0" borderId="0" xfId="4" applyNumberFormat="1" applyFont="1" applyFill="1" applyBorder="1" applyAlignment="1">
      <alignment horizontal="center"/>
    </xf>
    <xf numFmtId="166" fontId="8" fillId="0" borderId="0" xfId="55" applyNumberFormat="1" applyFont="1" applyFill="1" applyBorder="1" applyAlignment="1">
      <alignment horizontal="center"/>
    </xf>
    <xf numFmtId="2" fontId="8" fillId="0" borderId="0" xfId="4" applyNumberFormat="1" applyFont="1" applyFill="1" applyBorder="1" applyAlignment="1">
      <alignment horizontal="center"/>
    </xf>
    <xf numFmtId="5" fontId="66" fillId="0" borderId="51" xfId="55" applyNumberFormat="1" applyFont="1" applyFill="1" applyBorder="1" applyAlignment="1">
      <alignment horizontal="center"/>
    </xf>
    <xf numFmtId="2" fontId="77" fillId="0" borderId="51" xfId="0" applyNumberFormat="1" applyFont="1" applyFill="1" applyBorder="1" applyAlignment="1">
      <alignment horizontal="center"/>
    </xf>
    <xf numFmtId="10" fontId="66" fillId="0" borderId="30" xfId="193" applyNumberFormat="1" applyFont="1" applyFill="1" applyBorder="1" applyAlignment="1">
      <alignment horizontal="center"/>
    </xf>
    <xf numFmtId="0" fontId="66" fillId="0" borderId="43" xfId="0" applyFont="1" applyFill="1" applyBorder="1" applyAlignment="1">
      <alignment horizontal="center"/>
    </xf>
    <xf numFmtId="10" fontId="66" fillId="0" borderId="0" xfId="0" applyNumberFormat="1" applyFont="1" applyFill="1" applyBorder="1" applyAlignment="1">
      <alignment horizontal="center"/>
    </xf>
    <xf numFmtId="7" fontId="66" fillId="0" borderId="0" xfId="0" applyNumberFormat="1" applyFont="1" applyFill="1" applyBorder="1" applyAlignment="1">
      <alignment horizontal="center"/>
    </xf>
    <xf numFmtId="0" fontId="66" fillId="0" borderId="84" xfId="0" applyFont="1" applyFill="1" applyBorder="1" applyAlignment="1">
      <alignment horizontal="center"/>
    </xf>
    <xf numFmtId="166" fontId="67" fillId="0" borderId="0" xfId="55" applyNumberFormat="1" applyFont="1" applyFill="1" applyBorder="1"/>
    <xf numFmtId="166" fontId="67" fillId="0" borderId="28" xfId="55" applyNumberFormat="1" applyFont="1" applyFill="1" applyBorder="1"/>
    <xf numFmtId="0" fontId="67" fillId="0" borderId="0" xfId="121" applyFont="1" applyFill="1" applyBorder="1"/>
    <xf numFmtId="166" fontId="67" fillId="0" borderId="49" xfId="55" applyNumberFormat="1" applyFont="1" applyFill="1" applyBorder="1"/>
    <xf numFmtId="0" fontId="108" fillId="0" borderId="0" xfId="0" applyFont="1" applyFill="1" applyBorder="1" applyAlignment="1">
      <alignment horizontal="center"/>
    </xf>
    <xf numFmtId="4" fontId="75" fillId="0" borderId="0" xfId="4" applyNumberFormat="1" applyFont="1" applyFill="1" applyBorder="1" applyAlignment="1">
      <alignment horizontal="center"/>
    </xf>
    <xf numFmtId="166" fontId="110" fillId="0" borderId="0" xfId="55" applyNumberFormat="1" applyFont="1" applyFill="1"/>
    <xf numFmtId="39" fontId="10" fillId="0" borderId="0" xfId="55" applyNumberFormat="1" applyFont="1" applyFill="1" applyBorder="1" applyAlignment="1">
      <alignment horizontal="center"/>
    </xf>
    <xf numFmtId="0" fontId="112" fillId="0" borderId="0" xfId="0" applyFont="1" applyFill="1" applyBorder="1"/>
    <xf numFmtId="10" fontId="67" fillId="0" borderId="45" xfId="193" applyNumberFormat="1" applyFont="1" applyFill="1" applyBorder="1" applyAlignment="1">
      <alignment horizontal="center"/>
    </xf>
    <xf numFmtId="166" fontId="67" fillId="0" borderId="45" xfId="55" applyNumberFormat="1" applyFont="1" applyFill="1" applyBorder="1"/>
    <xf numFmtId="0" fontId="67" fillId="0" borderId="28" xfId="121" applyFont="1" applyFill="1" applyBorder="1"/>
    <xf numFmtId="166" fontId="67" fillId="0" borderId="30" xfId="55" applyNumberFormat="1" applyFont="1" applyFill="1" applyBorder="1"/>
    <xf numFmtId="166" fontId="75" fillId="0" borderId="0" xfId="4" applyNumberFormat="1" applyFont="1" applyFill="1" applyBorder="1" applyAlignment="1">
      <alignment horizontal="right"/>
    </xf>
    <xf numFmtId="166" fontId="70" fillId="0" borderId="0" xfId="4" applyNumberFormat="1" applyFont="1" applyFill="1" applyBorder="1"/>
    <xf numFmtId="166" fontId="75" fillId="0" borderId="0" xfId="4" applyNumberFormat="1" applyFont="1" applyFill="1" applyBorder="1"/>
    <xf numFmtId="166" fontId="75" fillId="0" borderId="0" xfId="0" applyNumberFormat="1" applyFont="1" applyFill="1" applyBorder="1"/>
    <xf numFmtId="0" fontId="70" fillId="0" borderId="55" xfId="0" applyFont="1" applyFill="1" applyBorder="1"/>
    <xf numFmtId="0" fontId="75" fillId="0" borderId="56" xfId="0" applyFont="1" applyFill="1" applyBorder="1" applyAlignment="1">
      <alignment horizontal="center"/>
    </xf>
    <xf numFmtId="7" fontId="75" fillId="0" borderId="0" xfId="55" applyNumberFormat="1" applyFont="1" applyFill="1" applyBorder="1" applyAlignment="1">
      <alignment horizontal="center"/>
    </xf>
    <xf numFmtId="10" fontId="75" fillId="0" borderId="120" xfId="193" applyNumberFormat="1" applyFont="1" applyFill="1" applyBorder="1" applyAlignment="1">
      <alignment horizontal="center"/>
    </xf>
    <xf numFmtId="10" fontId="75" fillId="0" borderId="120" xfId="0" applyNumberFormat="1" applyFont="1" applyFill="1" applyBorder="1" applyAlignment="1">
      <alignment horizontal="center"/>
    </xf>
    <xf numFmtId="0" fontId="75" fillId="0" borderId="84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left" wrapText="1"/>
    </xf>
    <xf numFmtId="0" fontId="66" fillId="0" borderId="13" xfId="122" applyFont="1" applyFill="1" applyBorder="1" applyAlignment="1">
      <alignment horizontal="left" wrapText="1"/>
    </xf>
    <xf numFmtId="166" fontId="66" fillId="0" borderId="13" xfId="122" applyNumberFormat="1" applyFont="1" applyFill="1" applyBorder="1" applyAlignment="1">
      <alignment horizontal="left" wrapText="1"/>
    </xf>
    <xf numFmtId="0" fontId="66" fillId="0" borderId="42" xfId="122" applyFont="1" applyFill="1" applyBorder="1" applyAlignment="1">
      <alignment horizontal="left" wrapText="1"/>
    </xf>
    <xf numFmtId="0" fontId="66" fillId="0" borderId="58" xfId="0" applyFont="1" applyFill="1" applyBorder="1" applyAlignment="1">
      <alignment horizontal="left"/>
    </xf>
    <xf numFmtId="0" fontId="66" fillId="0" borderId="85" xfId="0" applyFont="1" applyFill="1" applyBorder="1" applyAlignment="1">
      <alignment horizontal="left"/>
    </xf>
    <xf numFmtId="166" fontId="70" fillId="0" borderId="85" xfId="4" applyNumberFormat="1" applyFont="1" applyFill="1" applyBorder="1"/>
    <xf numFmtId="165" fontId="132" fillId="0" borderId="0" xfId="84" applyNumberFormat="1" applyFont="1" applyFill="1" applyBorder="1"/>
    <xf numFmtId="165" fontId="132" fillId="0" borderId="30" xfId="0" applyNumberFormat="1" applyFont="1" applyFill="1" applyBorder="1"/>
    <xf numFmtId="6" fontId="0" fillId="0" borderId="0" xfId="0" applyNumberFormat="1" applyFill="1"/>
    <xf numFmtId="10" fontId="132" fillId="0" borderId="0" xfId="193" applyNumberFormat="1" applyFont="1" applyFill="1" applyBorder="1" applyAlignment="1">
      <alignment horizontal="center"/>
    </xf>
    <xf numFmtId="165" fontId="132" fillId="0" borderId="43" xfId="0" applyNumberFormat="1" applyFont="1" applyFill="1" applyBorder="1"/>
    <xf numFmtId="10" fontId="132" fillId="0" borderId="0" xfId="0" applyNumberFormat="1" applyFont="1" applyFill="1" applyBorder="1"/>
    <xf numFmtId="10" fontId="132" fillId="0" borderId="0" xfId="173" applyNumberFormat="1" applyFont="1" applyFill="1" applyBorder="1"/>
    <xf numFmtId="166" fontId="132" fillId="0" borderId="0" xfId="0" applyNumberFormat="1" applyFont="1" applyFill="1" applyBorder="1"/>
    <xf numFmtId="166" fontId="67" fillId="0" borderId="44" xfId="55" applyNumberFormat="1" applyFont="1" applyFill="1" applyBorder="1"/>
    <xf numFmtId="166" fontId="67" fillId="0" borderId="46" xfId="55" applyNumberFormat="1" applyFont="1" applyFill="1" applyBorder="1"/>
    <xf numFmtId="0" fontId="38" fillId="32" borderId="0" xfId="0" applyFont="1" applyFill="1" applyAlignment="1">
      <alignment horizont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0" fillId="35" borderId="31" xfId="0" applyFont="1" applyFill="1" applyBorder="1" applyAlignment="1">
      <alignment horizontal="center" vertical="center"/>
    </xf>
    <xf numFmtId="0" fontId="40" fillId="35" borderId="32" xfId="0" applyFont="1" applyFill="1" applyBorder="1" applyAlignment="1">
      <alignment horizontal="center" vertical="center"/>
    </xf>
    <xf numFmtId="0" fontId="40" fillId="35" borderId="33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6" fillId="36" borderId="9" xfId="0" applyFont="1" applyFill="1" applyBorder="1" applyAlignment="1">
      <alignment horizontal="center"/>
    </xf>
    <xf numFmtId="0" fontId="0" fillId="0" borderId="0" xfId="0"/>
    <xf numFmtId="0" fontId="0" fillId="0" borderId="46" xfId="0" applyBorder="1" applyAlignment="1">
      <alignment horizontal="left" wrapText="1"/>
    </xf>
    <xf numFmtId="6" fontId="0" fillId="0" borderId="34" xfId="0" applyNumberFormat="1" applyBorder="1" applyAlignment="1">
      <alignment horizontal="center"/>
    </xf>
    <xf numFmtId="5" fontId="0" fillId="0" borderId="34" xfId="4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8" fillId="40" borderId="31" xfId="0" applyFont="1" applyFill="1" applyBorder="1" applyAlignment="1">
      <alignment horizontal="center"/>
    </xf>
    <xf numFmtId="0" fontId="48" fillId="40" borderId="32" xfId="0" applyFont="1" applyFill="1" applyBorder="1" applyAlignment="1">
      <alignment horizontal="center"/>
    </xf>
    <xf numFmtId="0" fontId="48" fillId="40" borderId="33" xfId="0" applyFont="1" applyFill="1" applyBorder="1" applyAlignment="1">
      <alignment horizontal="center"/>
    </xf>
    <xf numFmtId="0" fontId="51" fillId="38" borderId="31" xfId="0" applyFont="1" applyFill="1" applyBorder="1" applyAlignment="1">
      <alignment horizontal="center"/>
    </xf>
    <xf numFmtId="0" fontId="51" fillId="38" borderId="33" xfId="0" applyFont="1" applyFill="1" applyBorder="1" applyAlignment="1">
      <alignment horizontal="center"/>
    </xf>
    <xf numFmtId="10" fontId="0" fillId="38" borderId="44" xfId="173" applyNumberFormat="1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38" borderId="34" xfId="0" applyFill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10" fontId="0" fillId="0" borderId="40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10" fontId="0" fillId="0" borderId="44" xfId="173" applyNumberFormat="1" applyFont="1" applyFill="1" applyBorder="1" applyAlignment="1">
      <alignment horizontal="center"/>
    </xf>
    <xf numFmtId="10" fontId="0" fillId="0" borderId="40" xfId="173" applyNumberFormat="1" applyFont="1" applyFill="1" applyBorder="1" applyAlignment="1">
      <alignment horizontal="center"/>
    </xf>
    <xf numFmtId="0" fontId="0" fillId="0" borderId="44" xfId="0" applyBorder="1" applyAlignment="1">
      <alignment horizontal="left" wrapText="1"/>
    </xf>
    <xf numFmtId="6" fontId="0" fillId="0" borderId="48" xfId="0" applyNumberFormat="1" applyBorder="1" applyAlignment="1">
      <alignment horizontal="center"/>
    </xf>
    <xf numFmtId="6" fontId="0" fillId="0" borderId="45" xfId="0" applyNumberFormat="1" applyBorder="1" applyAlignment="1">
      <alignment horizontal="center"/>
    </xf>
    <xf numFmtId="6" fontId="0" fillId="0" borderId="41" xfId="0" applyNumberFormat="1" applyBorder="1" applyAlignment="1">
      <alignment horizontal="center"/>
    </xf>
    <xf numFmtId="6" fontId="0" fillId="0" borderId="49" xfId="0" applyNumberFormat="1" applyBorder="1" applyAlignment="1">
      <alignment horizontal="center"/>
    </xf>
    <xf numFmtId="5" fontId="0" fillId="0" borderId="44" xfId="4" applyNumberFormat="1" applyFont="1" applyBorder="1" applyAlignment="1">
      <alignment horizontal="center" vertical="center" wrapText="1"/>
    </xf>
    <xf numFmtId="5" fontId="0" fillId="0" borderId="40" xfId="4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6" fontId="0" fillId="0" borderId="44" xfId="0" applyNumberFormat="1" applyFill="1" applyBorder="1" applyAlignment="1">
      <alignment horizontal="center" vertical="center"/>
    </xf>
    <xf numFmtId="0" fontId="55" fillId="40" borderId="34" xfId="0" applyFont="1" applyFill="1" applyBorder="1" applyAlignment="1">
      <alignment horizontal="center" vertical="center" wrapText="1"/>
    </xf>
    <xf numFmtId="0" fontId="10" fillId="0" borderId="65" xfId="0" applyFont="1" applyBorder="1" applyAlignment="1"/>
    <xf numFmtId="0" fontId="10" fillId="0" borderId="33" xfId="0" applyFont="1" applyBorder="1" applyAlignment="1"/>
    <xf numFmtId="0" fontId="9" fillId="42" borderId="3" xfId="0" applyFont="1" applyFill="1" applyBorder="1" applyAlignment="1">
      <alignment horizontal="center" wrapText="1"/>
    </xf>
    <xf numFmtId="0" fontId="9" fillId="42" borderId="5" xfId="0" applyFont="1" applyFill="1" applyBorder="1" applyAlignment="1">
      <alignment horizontal="center" wrapText="1"/>
    </xf>
    <xf numFmtId="0" fontId="9" fillId="42" borderId="6" xfId="0" applyFont="1" applyFill="1" applyBorder="1" applyAlignment="1">
      <alignment horizontal="center" wrapText="1"/>
    </xf>
    <xf numFmtId="0" fontId="60" fillId="0" borderId="0" xfId="3" applyFont="1" applyFill="1" applyBorder="1" applyAlignment="1">
      <alignment horizontal="center"/>
    </xf>
    <xf numFmtId="0" fontId="61" fillId="0" borderId="35" xfId="156" applyFont="1" applyFill="1" applyBorder="1" applyAlignment="1">
      <alignment horizontal="center" vertical="center"/>
    </xf>
    <xf numFmtId="0" fontId="61" fillId="0" borderId="4" xfId="156" applyFont="1" applyFill="1" applyBorder="1" applyAlignment="1">
      <alignment horizontal="center" vertical="center"/>
    </xf>
    <xf numFmtId="0" fontId="61" fillId="0" borderId="37" xfId="156" applyFont="1" applyFill="1" applyBorder="1" applyAlignment="1">
      <alignment horizontal="center" vertical="center"/>
    </xf>
    <xf numFmtId="0" fontId="63" fillId="42" borderId="50" xfId="0" applyFont="1" applyFill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77" fillId="0" borderId="55" xfId="0" applyFont="1" applyFill="1" applyBorder="1" applyAlignment="1">
      <alignment horizontal="center"/>
    </xf>
    <xf numFmtId="0" fontId="77" fillId="0" borderId="56" xfId="0" applyFont="1" applyFill="1" applyBorder="1" applyAlignment="1">
      <alignment horizontal="center"/>
    </xf>
    <xf numFmtId="0" fontId="77" fillId="0" borderId="45" xfId="0" applyFont="1" applyFill="1" applyBorder="1" applyAlignment="1">
      <alignment horizontal="center"/>
    </xf>
    <xf numFmtId="0" fontId="77" fillId="0" borderId="8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172" fontId="80" fillId="4" borderId="50" xfId="3" applyNumberFormat="1" applyFont="1" applyBorder="1" applyAlignment="1">
      <alignment horizontal="center" vertical="center"/>
    </xf>
    <xf numFmtId="172" fontId="80" fillId="4" borderId="51" xfId="3" applyNumberFormat="1" applyFont="1" applyBorder="1" applyAlignment="1">
      <alignment horizontal="center" vertical="center"/>
    </xf>
    <xf numFmtId="172" fontId="80" fillId="4" borderId="52" xfId="3" applyNumberFormat="1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5" xfId="0" applyFont="1" applyBorder="1" applyAlignment="1"/>
    <xf numFmtId="0" fontId="10" fillId="0" borderId="54" xfId="0" applyFont="1" applyBorder="1" applyAlignment="1"/>
    <xf numFmtId="0" fontId="10" fillId="0" borderId="30" xfId="0" applyFont="1" applyBorder="1" applyAlignment="1"/>
    <xf numFmtId="0" fontId="10" fillId="0" borderId="65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172" fontId="80" fillId="4" borderId="74" xfId="3" applyNumberFormat="1" applyFont="1" applyBorder="1" applyAlignment="1">
      <alignment horizontal="center" vertical="center"/>
    </xf>
    <xf numFmtId="172" fontId="80" fillId="4" borderId="4" xfId="3" applyNumberFormat="1" applyFont="1" applyBorder="1" applyAlignment="1">
      <alignment horizontal="center" vertical="center"/>
    </xf>
    <xf numFmtId="172" fontId="80" fillId="4" borderId="75" xfId="3" applyNumberFormat="1" applyFont="1" applyBorder="1" applyAlignment="1">
      <alignment horizontal="center" vertical="center"/>
    </xf>
    <xf numFmtId="0" fontId="10" fillId="0" borderId="74" xfId="0" applyFont="1" applyBorder="1" applyAlignment="1"/>
    <xf numFmtId="0" fontId="10" fillId="0" borderId="76" xfId="0" applyFont="1" applyBorder="1" applyAlignment="1"/>
    <xf numFmtId="0" fontId="82" fillId="43" borderId="65" xfId="0" applyFont="1" applyFill="1" applyBorder="1" applyAlignment="1">
      <alignment horizontal="center"/>
    </xf>
    <xf numFmtId="0" fontId="82" fillId="43" borderId="33" xfId="0" applyFont="1" applyFill="1" applyBorder="1" applyAlignment="1">
      <alignment horizontal="center"/>
    </xf>
    <xf numFmtId="0" fontId="80" fillId="44" borderId="65" xfId="121" applyFont="1" applyFill="1" applyBorder="1" applyAlignment="1">
      <alignment horizontal="center" vertical="center"/>
    </xf>
    <xf numFmtId="0" fontId="80" fillId="44" borderId="32" xfId="121" applyFont="1" applyFill="1" applyBorder="1" applyAlignment="1">
      <alignment horizontal="center" vertical="center"/>
    </xf>
    <xf numFmtId="0" fontId="80" fillId="44" borderId="77" xfId="121" applyFont="1" applyFill="1" applyBorder="1" applyAlignment="1">
      <alignment horizontal="center" vertical="center"/>
    </xf>
    <xf numFmtId="0" fontId="10" fillId="0" borderId="78" xfId="0" applyFont="1" applyBorder="1" applyAlignment="1"/>
    <xf numFmtId="0" fontId="10" fillId="0" borderId="72" xfId="0" applyFont="1" applyBorder="1" applyAlignment="1"/>
    <xf numFmtId="0" fontId="60" fillId="44" borderId="78" xfId="121" applyFont="1" applyFill="1" applyBorder="1" applyAlignment="1">
      <alignment horizontal="center" vertical="center"/>
    </xf>
    <xf numFmtId="0" fontId="60" fillId="44" borderId="72" xfId="121" applyFont="1" applyFill="1" applyBorder="1" applyAlignment="1">
      <alignment horizontal="center" vertical="center"/>
    </xf>
    <xf numFmtId="0" fontId="10" fillId="0" borderId="78" xfId="0" applyFont="1" applyBorder="1" applyAlignment="1">
      <alignment wrapText="1"/>
    </xf>
    <xf numFmtId="0" fontId="10" fillId="0" borderId="72" xfId="0" applyFont="1" applyBorder="1" applyAlignment="1">
      <alignment wrapText="1"/>
    </xf>
    <xf numFmtId="0" fontId="0" fillId="0" borderId="86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43" fillId="42" borderId="81" xfId="3" applyFont="1" applyFill="1" applyBorder="1" applyAlignment="1">
      <alignment horizontal="center"/>
    </xf>
    <xf numFmtId="0" fontId="43" fillId="42" borderId="82" xfId="3" applyFont="1" applyFill="1" applyBorder="1" applyAlignment="1">
      <alignment horizontal="center"/>
    </xf>
    <xf numFmtId="0" fontId="43" fillId="42" borderId="83" xfId="3" applyFont="1" applyFill="1" applyBorder="1" applyAlignment="1">
      <alignment horizontal="center"/>
    </xf>
    <xf numFmtId="0" fontId="10" fillId="0" borderId="97" xfId="0" applyFont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169" fontId="99" fillId="0" borderId="0" xfId="0" applyNumberFormat="1" applyFont="1" applyBorder="1" applyAlignment="1">
      <alignment horizontal="center"/>
    </xf>
    <xf numFmtId="0" fontId="8" fillId="42" borderId="74" xfId="0" applyFont="1" applyFill="1" applyBorder="1" applyAlignment="1">
      <alignment horizontal="center" wrapText="1"/>
    </xf>
    <xf numFmtId="0" fontId="8" fillId="42" borderId="4" xfId="0" applyFont="1" applyFill="1" applyBorder="1" applyAlignment="1">
      <alignment horizontal="center" wrapText="1"/>
    </xf>
    <xf numFmtId="0" fontId="8" fillId="42" borderId="75" xfId="0" applyFont="1" applyFill="1" applyBorder="1" applyAlignment="1">
      <alignment horizontal="center" wrapText="1"/>
    </xf>
    <xf numFmtId="0" fontId="58" fillId="0" borderId="39" xfId="156" applyFont="1" applyFill="1" applyBorder="1" applyAlignment="1">
      <alignment horizontal="center" vertical="center"/>
    </xf>
    <xf numFmtId="0" fontId="58" fillId="0" borderId="30" xfId="156" applyFont="1" applyFill="1" applyBorder="1" applyAlignment="1">
      <alignment horizontal="center" vertical="center"/>
    </xf>
    <xf numFmtId="0" fontId="58" fillId="0" borderId="41" xfId="156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/>
    </xf>
    <xf numFmtId="0" fontId="66" fillId="0" borderId="56" xfId="0" applyFont="1" applyFill="1" applyBorder="1" applyAlignment="1">
      <alignment horizontal="center"/>
    </xf>
    <xf numFmtId="0" fontId="66" fillId="0" borderId="45" xfId="0" applyFont="1" applyFill="1" applyBorder="1" applyAlignment="1">
      <alignment horizontal="center"/>
    </xf>
    <xf numFmtId="44" fontId="66" fillId="0" borderId="31" xfId="55" applyFont="1" applyFill="1" applyBorder="1" applyAlignment="1">
      <alignment horizontal="center"/>
    </xf>
    <xf numFmtId="44" fontId="8" fillId="0" borderId="32" xfId="55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101" xfId="0" applyFont="1" applyBorder="1" applyAlignment="1">
      <alignment horizontal="center" wrapText="1"/>
    </xf>
    <xf numFmtId="0" fontId="10" fillId="0" borderId="124" xfId="0" applyFont="1" applyFill="1" applyBorder="1" applyAlignment="1">
      <alignment horizontal="center" wrapText="1"/>
    </xf>
    <xf numFmtId="0" fontId="10" fillId="0" borderId="117" xfId="0" applyFont="1" applyFill="1" applyBorder="1" applyAlignment="1">
      <alignment horizontal="center" wrapText="1"/>
    </xf>
    <xf numFmtId="0" fontId="10" fillId="0" borderId="105" xfId="0" applyFont="1" applyFill="1" applyBorder="1" applyAlignment="1">
      <alignment horizontal="center" wrapText="1"/>
    </xf>
    <xf numFmtId="0" fontId="121" fillId="42" borderId="81" xfId="3" applyFont="1" applyFill="1" applyBorder="1" applyAlignment="1">
      <alignment horizontal="center"/>
    </xf>
    <xf numFmtId="0" fontId="121" fillId="42" borderId="82" xfId="3" applyFont="1" applyFill="1" applyBorder="1" applyAlignment="1">
      <alignment horizontal="center"/>
    </xf>
    <xf numFmtId="0" fontId="121" fillId="42" borderId="83" xfId="3" applyFont="1" applyFill="1" applyBorder="1" applyAlignment="1">
      <alignment horizontal="center"/>
    </xf>
    <xf numFmtId="0" fontId="127" fillId="0" borderId="34" xfId="142" applyFont="1" applyFill="1" applyBorder="1" applyAlignment="1">
      <alignment horizontal="center" wrapText="1"/>
    </xf>
    <xf numFmtId="0" fontId="77" fillId="47" borderId="31" xfId="0" applyFont="1" applyFill="1" applyBorder="1" applyAlignment="1">
      <alignment horizontal="center"/>
    </xf>
    <xf numFmtId="0" fontId="77" fillId="47" borderId="32" xfId="0" applyFont="1" applyFill="1" applyBorder="1" applyAlignment="1">
      <alignment horizontal="center"/>
    </xf>
    <xf numFmtId="0" fontId="77" fillId="47" borderId="33" xfId="0" applyFont="1" applyFill="1" applyBorder="1" applyAlignment="1">
      <alignment horizontal="center"/>
    </xf>
    <xf numFmtId="0" fontId="127" fillId="48" borderId="31" xfId="122" applyFont="1" applyFill="1" applyBorder="1" applyAlignment="1">
      <alignment horizontal="center"/>
    </xf>
    <xf numFmtId="0" fontId="127" fillId="48" borderId="33" xfId="122" applyFont="1" applyFill="1" applyBorder="1" applyAlignment="1">
      <alignment horizontal="center"/>
    </xf>
    <xf numFmtId="169" fontId="131" fillId="0" borderId="34" xfId="122" applyNumberFormat="1" applyFont="1" applyFill="1" applyBorder="1" applyAlignment="1">
      <alignment horizontal="center"/>
    </xf>
    <xf numFmtId="0" fontId="131" fillId="47" borderId="74" xfId="3" applyFont="1" applyFill="1" applyBorder="1" applyAlignment="1">
      <alignment horizontal="center"/>
    </xf>
    <xf numFmtId="0" fontId="131" fillId="47" borderId="4" xfId="3" applyFont="1" applyFill="1" applyBorder="1" applyAlignment="1">
      <alignment horizontal="center"/>
    </xf>
    <xf numFmtId="0" fontId="131" fillId="47" borderId="75" xfId="3" applyFont="1" applyFill="1" applyBorder="1" applyAlignment="1">
      <alignment horizontal="center"/>
    </xf>
    <xf numFmtId="0" fontId="134" fillId="49" borderId="131" xfId="3" applyFont="1" applyFill="1" applyBorder="1" applyAlignment="1">
      <alignment horizontal="center"/>
    </xf>
    <xf numFmtId="0" fontId="134" fillId="49" borderId="132" xfId="3" applyFont="1" applyFill="1" applyBorder="1" applyAlignment="1">
      <alignment horizontal="center"/>
    </xf>
    <xf numFmtId="0" fontId="134" fillId="49" borderId="133" xfId="3" applyFont="1" applyFill="1" applyBorder="1" applyAlignment="1">
      <alignment horizontal="center"/>
    </xf>
    <xf numFmtId="0" fontId="131" fillId="39" borderId="74" xfId="3" applyFont="1" applyFill="1" applyBorder="1" applyAlignment="1">
      <alignment horizontal="center"/>
    </xf>
    <xf numFmtId="0" fontId="131" fillId="39" borderId="4" xfId="3" applyFont="1" applyFill="1" applyBorder="1" applyAlignment="1">
      <alignment horizontal="center"/>
    </xf>
    <xf numFmtId="0" fontId="131" fillId="39" borderId="75" xfId="3" applyFont="1" applyFill="1" applyBorder="1" applyAlignment="1">
      <alignment horizontal="center"/>
    </xf>
    <xf numFmtId="0" fontId="131" fillId="49" borderId="131" xfId="3" applyFont="1" applyFill="1" applyBorder="1" applyAlignment="1">
      <alignment horizontal="center"/>
    </xf>
    <xf numFmtId="0" fontId="131" fillId="49" borderId="132" xfId="3" applyFont="1" applyFill="1" applyBorder="1" applyAlignment="1">
      <alignment horizontal="center"/>
    </xf>
    <xf numFmtId="0" fontId="131" fillId="49" borderId="133" xfId="3" applyFont="1" applyFill="1" applyBorder="1" applyAlignment="1">
      <alignment horizontal="center"/>
    </xf>
    <xf numFmtId="0" fontId="127" fillId="0" borderId="31" xfId="122" applyFont="1" applyFill="1" applyBorder="1" applyAlignment="1">
      <alignment horizontal="center"/>
    </xf>
    <xf numFmtId="0" fontId="127" fillId="0" borderId="33" xfId="122" applyFont="1" applyFill="1" applyBorder="1" applyAlignment="1">
      <alignment horizontal="center"/>
    </xf>
    <xf numFmtId="0" fontId="131" fillId="49" borderId="74" xfId="3" applyFont="1" applyFill="1" applyBorder="1" applyAlignment="1">
      <alignment horizontal="center"/>
    </xf>
    <xf numFmtId="0" fontId="131" fillId="49" borderId="4" xfId="3" applyFont="1" applyFill="1" applyBorder="1" applyAlignment="1">
      <alignment horizontal="center"/>
    </xf>
    <xf numFmtId="0" fontId="131" fillId="49" borderId="75" xfId="3" applyFont="1" applyFill="1" applyBorder="1" applyAlignment="1">
      <alignment horizontal="center"/>
    </xf>
    <xf numFmtId="0" fontId="135" fillId="0" borderId="34" xfId="0" applyFont="1" applyFill="1" applyBorder="1" applyAlignment="1">
      <alignment horizontal="center"/>
    </xf>
    <xf numFmtId="0" fontId="127" fillId="0" borderId="34" xfId="122" applyFont="1" applyFill="1" applyBorder="1" applyAlignment="1">
      <alignment horizontal="center"/>
    </xf>
    <xf numFmtId="0" fontId="131" fillId="0" borderId="31" xfId="122" applyFont="1" applyFill="1" applyBorder="1" applyAlignment="1">
      <alignment horizontal="center"/>
    </xf>
    <xf numFmtId="0" fontId="131" fillId="0" borderId="33" xfId="122" applyFont="1" applyFill="1" applyBorder="1" applyAlignment="1">
      <alignment horizontal="center"/>
    </xf>
    <xf numFmtId="0" fontId="131" fillId="0" borderId="34" xfId="122" applyFont="1" applyFill="1" applyBorder="1" applyAlignment="1">
      <alignment horizontal="center"/>
    </xf>
    <xf numFmtId="169" fontId="131" fillId="48" borderId="31" xfId="122" applyNumberFormat="1" applyFont="1" applyFill="1" applyBorder="1" applyAlignment="1">
      <alignment horizontal="center"/>
    </xf>
    <xf numFmtId="169" fontId="131" fillId="48" borderId="33" xfId="122" applyNumberFormat="1" applyFont="1" applyFill="1" applyBorder="1" applyAlignment="1">
      <alignment horizontal="center"/>
    </xf>
    <xf numFmtId="0" fontId="135" fillId="0" borderId="31" xfId="0" applyFont="1" applyFill="1" applyBorder="1" applyAlignment="1">
      <alignment horizontal="center"/>
    </xf>
    <xf numFmtId="0" fontId="135" fillId="0" borderId="33" xfId="0" applyFont="1" applyFill="1" applyBorder="1" applyAlignment="1">
      <alignment horizontal="center"/>
    </xf>
    <xf numFmtId="0" fontId="127" fillId="48" borderId="31" xfId="122" applyFont="1" applyFill="1" applyBorder="1" applyAlignment="1">
      <alignment horizontal="center" wrapText="1"/>
    </xf>
    <xf numFmtId="0" fontId="127" fillId="48" borderId="33" xfId="122" applyFont="1" applyFill="1" applyBorder="1" applyAlignment="1">
      <alignment horizontal="center" wrapText="1"/>
    </xf>
    <xf numFmtId="0" fontId="131" fillId="0" borderId="34" xfId="0" applyFont="1" applyFill="1" applyBorder="1" applyAlignment="1">
      <alignment horizontal="center"/>
    </xf>
    <xf numFmtId="0" fontId="135" fillId="0" borderId="31" xfId="0" applyFont="1" applyFill="1" applyBorder="1" applyAlignment="1">
      <alignment horizontal="center" wrapText="1"/>
    </xf>
    <xf numFmtId="0" fontId="135" fillId="0" borderId="33" xfId="0" applyFont="1" applyFill="1" applyBorder="1" applyAlignment="1">
      <alignment horizontal="center" wrapText="1"/>
    </xf>
    <xf numFmtId="0" fontId="137" fillId="44" borderId="34" xfId="0" applyFont="1" applyFill="1" applyBorder="1" applyAlignment="1">
      <alignment horizontal="center"/>
    </xf>
    <xf numFmtId="0" fontId="127" fillId="0" borderId="31" xfId="122" applyFont="1" applyFill="1" applyBorder="1" applyAlignment="1">
      <alignment horizontal="center" vertical="center"/>
    </xf>
    <xf numFmtId="0" fontId="127" fillId="0" borderId="33" xfId="122" applyFont="1" applyFill="1" applyBorder="1" applyAlignment="1">
      <alignment horizontal="center" vertical="center"/>
    </xf>
    <xf numFmtId="0" fontId="135" fillId="0" borderId="34" xfId="0" applyFont="1" applyFill="1" applyBorder="1" applyAlignment="1">
      <alignment horizontal="center" wrapText="1"/>
    </xf>
    <xf numFmtId="0" fontId="131" fillId="48" borderId="31" xfId="122" applyFont="1" applyFill="1" applyBorder="1" applyAlignment="1">
      <alignment horizontal="center"/>
    </xf>
    <xf numFmtId="0" fontId="131" fillId="48" borderId="33" xfId="122" applyFont="1" applyFill="1" applyBorder="1" applyAlignment="1">
      <alignment horizontal="center"/>
    </xf>
    <xf numFmtId="10" fontId="132" fillId="0" borderId="31" xfId="182" applyNumberFormat="1" applyFont="1" applyFill="1" applyBorder="1" applyAlignment="1">
      <alignment horizontal="center"/>
    </xf>
    <xf numFmtId="10" fontId="132" fillId="0" borderId="33" xfId="182" applyNumberFormat="1" applyFont="1" applyFill="1" applyBorder="1" applyAlignment="1">
      <alignment horizontal="center"/>
    </xf>
    <xf numFmtId="0" fontId="135" fillId="44" borderId="40" xfId="0" applyFont="1" applyFill="1" applyBorder="1" applyAlignment="1">
      <alignment horizontal="center"/>
    </xf>
    <xf numFmtId="10" fontId="132" fillId="0" borderId="40" xfId="0" applyNumberFormat="1" applyFont="1" applyFill="1" applyBorder="1" applyAlignment="1">
      <alignment horizontal="center"/>
    </xf>
    <xf numFmtId="0" fontId="135" fillId="44" borderId="31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0" fontId="132" fillId="0" borderId="31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0" fontId="132" fillId="0" borderId="34" xfId="193" applyNumberFormat="1" applyFont="1" applyFill="1" applyBorder="1" applyAlignment="1">
      <alignment horizontal="center"/>
    </xf>
    <xf numFmtId="164" fontId="0" fillId="0" borderId="7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8" fillId="0" borderId="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2" fillId="0" borderId="0" xfId="124"/>
    <xf numFmtId="0" fontId="12" fillId="0" borderId="0" xfId="124" applyBorder="1"/>
    <xf numFmtId="0" fontId="145" fillId="0" borderId="0" xfId="124" applyFont="1" applyBorder="1"/>
    <xf numFmtId="10" fontId="43" fillId="0" borderId="0" xfId="124" applyNumberFormat="1" applyFont="1" applyBorder="1"/>
    <xf numFmtId="0" fontId="43" fillId="0" borderId="0" xfId="124" applyFont="1" applyBorder="1"/>
    <xf numFmtId="0" fontId="43" fillId="0" borderId="0" xfId="124" applyFont="1"/>
    <xf numFmtId="169" fontId="51" fillId="44" borderId="143" xfId="124" applyNumberFormat="1" applyFont="1" applyFill="1" applyBorder="1" applyAlignment="1">
      <alignment horizontal="center"/>
    </xf>
    <xf numFmtId="169" fontId="51" fillId="44" borderId="144" xfId="124" applyNumberFormat="1" applyFont="1" applyFill="1" applyBorder="1" applyAlignment="1">
      <alignment horizontal="center"/>
    </xf>
    <xf numFmtId="169" fontId="51" fillId="44" borderId="145" xfId="124" applyNumberFormat="1" applyFont="1" applyFill="1" applyBorder="1" applyAlignment="1">
      <alignment horizontal="center"/>
    </xf>
    <xf numFmtId="0" fontId="146" fillId="0" borderId="0" xfId="124" applyFont="1" applyBorder="1" applyAlignment="1">
      <alignment horizontal="center"/>
    </xf>
    <xf numFmtId="0" fontId="51" fillId="0" borderId="8" xfId="124" applyFont="1" applyBorder="1"/>
    <xf numFmtId="0" fontId="51" fillId="0" borderId="0" xfId="124" applyFont="1" applyFill="1" applyBorder="1" applyAlignment="1">
      <alignment horizontal="center"/>
    </xf>
    <xf numFmtId="169" fontId="51" fillId="0" borderId="0" xfId="124" applyNumberFormat="1" applyFont="1" applyBorder="1" applyAlignment="1">
      <alignment horizontal="center"/>
    </xf>
    <xf numFmtId="1" fontId="117" fillId="0" borderId="0" xfId="124" applyNumberFormat="1" applyFont="1" applyFill="1" applyBorder="1" applyAlignment="1">
      <alignment horizontal="right"/>
    </xf>
    <xf numFmtId="169" fontId="19" fillId="0" borderId="0" xfId="124" applyNumberFormat="1" applyFont="1" applyBorder="1"/>
    <xf numFmtId="0" fontId="12" fillId="0" borderId="13" xfId="124" applyBorder="1"/>
    <xf numFmtId="0" fontId="54" fillId="0" borderId="0" xfId="124" applyFont="1" applyBorder="1" applyAlignment="1">
      <alignment horizontal="center"/>
    </xf>
    <xf numFmtId="0" fontId="147" fillId="0" borderId="0" xfId="124" applyFont="1" applyBorder="1" applyAlignment="1">
      <alignment horizontal="center"/>
    </xf>
    <xf numFmtId="0" fontId="19" fillId="0" borderId="8" xfId="124" applyFont="1" applyBorder="1"/>
    <xf numFmtId="0" fontId="19" fillId="0" borderId="0" xfId="124" applyFont="1" applyFill="1" applyBorder="1" applyAlignment="1">
      <alignment horizontal="center"/>
    </xf>
    <xf numFmtId="170" fontId="19" fillId="0" borderId="0" xfId="124" applyNumberFormat="1" applyFont="1" applyBorder="1"/>
    <xf numFmtId="0" fontId="147" fillId="44" borderId="34" xfId="124" applyFont="1" applyFill="1" applyBorder="1" applyAlignment="1">
      <alignment horizontal="center"/>
    </xf>
    <xf numFmtId="0" fontId="147" fillId="0" borderId="46" xfId="124" applyFont="1" applyBorder="1"/>
    <xf numFmtId="0" fontId="12" fillId="0" borderId="28" xfId="124" applyBorder="1"/>
    <xf numFmtId="0" fontId="65" fillId="52" borderId="84" xfId="124" applyFont="1" applyFill="1" applyBorder="1" applyAlignment="1">
      <alignment horizontal="center"/>
    </xf>
    <xf numFmtId="0" fontId="65" fillId="52" borderId="146" xfId="124" applyFont="1" applyFill="1" applyBorder="1" applyAlignment="1">
      <alignment horizontal="center"/>
    </xf>
    <xf numFmtId="0" fontId="65" fillId="52" borderId="72" xfId="124" applyFont="1" applyFill="1" applyBorder="1" applyAlignment="1">
      <alignment horizontal="center"/>
    </xf>
    <xf numFmtId="0" fontId="65" fillId="0" borderId="0" xfId="124" applyFont="1" applyBorder="1"/>
    <xf numFmtId="0" fontId="51" fillId="0" borderId="0" xfId="124" applyFont="1" applyBorder="1" applyAlignment="1">
      <alignment horizontal="center"/>
    </xf>
    <xf numFmtId="0" fontId="51" fillId="0" borderId="0" xfId="124" applyFont="1" applyBorder="1" applyAlignment="1">
      <alignment horizontal="center" vertical="center"/>
    </xf>
    <xf numFmtId="0" fontId="51" fillId="0" borderId="0" xfId="124" applyFont="1" applyBorder="1"/>
    <xf numFmtId="3" fontId="51" fillId="0" borderId="0" xfId="124" applyNumberFormat="1" applyFont="1" applyBorder="1" applyAlignment="1">
      <alignment horizontal="center"/>
    </xf>
    <xf numFmtId="0" fontId="65" fillId="0" borderId="47" xfId="124" applyFont="1" applyBorder="1"/>
    <xf numFmtId="3" fontId="51" fillId="0" borderId="28" xfId="124" applyNumberFormat="1" applyFont="1" applyBorder="1" applyAlignment="1">
      <alignment horizontal="center"/>
    </xf>
    <xf numFmtId="0" fontId="19" fillId="0" borderId="8" xfId="124" applyFont="1" applyBorder="1" applyAlignment="1">
      <alignment horizontal="left"/>
    </xf>
    <xf numFmtId="0" fontId="19" fillId="0" borderId="43" xfId="124" applyFont="1" applyFill="1" applyBorder="1" applyAlignment="1">
      <alignment horizontal="center"/>
    </xf>
    <xf numFmtId="1" fontId="117" fillId="0" borderId="0" xfId="124" applyNumberFormat="1" applyFont="1" applyFill="1" applyBorder="1" applyAlignment="1">
      <alignment horizontal="center"/>
    </xf>
    <xf numFmtId="0" fontId="147" fillId="0" borderId="0" xfId="124" applyFont="1" applyBorder="1" applyAlignment="1">
      <alignment horizontal="center" vertical="center"/>
    </xf>
    <xf numFmtId="0" fontId="54" fillId="0" borderId="0" xfId="124" applyFont="1" applyBorder="1"/>
    <xf numFmtId="0" fontId="51" fillId="0" borderId="28" xfId="124" applyFont="1" applyBorder="1"/>
    <xf numFmtId="0" fontId="19" fillId="0" borderId="0" xfId="124" applyFont="1" applyFill="1" applyBorder="1" applyAlignment="1">
      <alignment horizontal="right"/>
    </xf>
    <xf numFmtId="170" fontId="117" fillId="0" borderId="0" xfId="124" applyNumberFormat="1" applyFont="1" applyFill="1" applyBorder="1" applyAlignment="1">
      <alignment horizontal="right"/>
    </xf>
    <xf numFmtId="0" fontId="65" fillId="0" borderId="30" xfId="124" applyFont="1" applyBorder="1"/>
    <xf numFmtId="0" fontId="51" fillId="0" borderId="30" xfId="124" applyFont="1" applyBorder="1" applyAlignment="1">
      <alignment horizontal="center"/>
    </xf>
    <xf numFmtId="0" fontId="65" fillId="0" borderId="41" xfId="124" applyFont="1" applyBorder="1"/>
    <xf numFmtId="0" fontId="51" fillId="0" borderId="49" xfId="124" applyFont="1" applyBorder="1" applyAlignment="1">
      <alignment horizontal="center"/>
    </xf>
    <xf numFmtId="0" fontId="19" fillId="0" borderId="12" xfId="124" applyFont="1" applyBorder="1"/>
    <xf numFmtId="0" fontId="19" fillId="0" borderId="9" xfId="124" applyFont="1" applyFill="1" applyBorder="1" applyAlignment="1">
      <alignment horizontal="right"/>
    </xf>
    <xf numFmtId="176" fontId="19" fillId="0" borderId="9" xfId="184" applyNumberFormat="1" applyFont="1" applyFill="1" applyBorder="1" applyAlignment="1">
      <alignment horizontal="center"/>
    </xf>
    <xf numFmtId="1" fontId="117" fillId="0" borderId="9" xfId="124" applyNumberFormat="1" applyFont="1" applyFill="1" applyBorder="1" applyAlignment="1">
      <alignment horizontal="right"/>
    </xf>
    <xf numFmtId="0" fontId="51" fillId="0" borderId="9" xfId="124" applyFont="1" applyBorder="1"/>
    <xf numFmtId="0" fontId="12" fillId="0" borderId="10" xfId="124" applyBorder="1"/>
    <xf numFmtId="169" fontId="51" fillId="0" borderId="0" xfId="124" applyNumberFormat="1" applyFont="1" applyBorder="1"/>
    <xf numFmtId="42" fontId="51" fillId="0" borderId="0" xfId="124" applyNumberFormat="1" applyFont="1" applyBorder="1"/>
    <xf numFmtId="4" fontId="51" fillId="0" borderId="0" xfId="124" applyNumberFormat="1" applyFont="1" applyBorder="1"/>
    <xf numFmtId="169" fontId="51" fillId="0" borderId="47" xfId="124" applyNumberFormat="1" applyFont="1" applyBorder="1"/>
    <xf numFmtId="42" fontId="51" fillId="0" borderId="28" xfId="124" applyNumberFormat="1" applyFont="1" applyBorder="1"/>
    <xf numFmtId="169" fontId="61" fillId="44" borderId="147" xfId="124" applyNumberFormat="1" applyFont="1" applyFill="1" applyBorder="1" applyAlignment="1">
      <alignment horizontal="center"/>
    </xf>
    <xf numFmtId="169" fontId="61" fillId="44" borderId="148" xfId="124" applyNumberFormat="1" applyFont="1" applyFill="1" applyBorder="1" applyAlignment="1">
      <alignment horizontal="center"/>
    </xf>
    <xf numFmtId="169" fontId="61" fillId="44" borderId="149" xfId="124" applyNumberFormat="1" applyFont="1" applyFill="1" applyBorder="1" applyAlignment="1">
      <alignment horizontal="center"/>
    </xf>
    <xf numFmtId="0" fontId="51" fillId="0" borderId="47" xfId="124" applyFont="1" applyBorder="1" applyAlignment="1">
      <alignment horizontal="left"/>
    </xf>
    <xf numFmtId="0" fontId="51" fillId="0" borderId="0" xfId="124" applyFont="1" applyBorder="1" applyAlignment="1">
      <alignment horizontal="left"/>
    </xf>
    <xf numFmtId="42" fontId="51" fillId="0" borderId="0" xfId="124" applyNumberFormat="1" applyFont="1" applyFill="1" applyBorder="1"/>
    <xf numFmtId="4" fontId="51" fillId="0" borderId="0" xfId="124" applyNumberFormat="1" applyFont="1" applyFill="1" applyBorder="1"/>
    <xf numFmtId="0" fontId="147" fillId="0" borderId="46" xfId="124" applyFont="1" applyFill="1" applyBorder="1"/>
    <xf numFmtId="0" fontId="51" fillId="0" borderId="47" xfId="124" applyFont="1" applyFill="1" applyBorder="1" applyAlignment="1">
      <alignment horizontal="left"/>
    </xf>
    <xf numFmtId="0" fontId="51" fillId="0" borderId="0" xfId="124" applyFont="1" applyFill="1" applyBorder="1" applyAlignment="1">
      <alignment horizontal="left"/>
    </xf>
    <xf numFmtId="42" fontId="51" fillId="0" borderId="28" xfId="124" applyNumberFormat="1" applyFont="1" applyFill="1" applyBorder="1"/>
    <xf numFmtId="0" fontId="148" fillId="44" borderId="39" xfId="124" applyFont="1" applyFill="1" applyBorder="1" applyAlignment="1">
      <alignment horizontal="center" vertical="center"/>
    </xf>
    <xf numFmtId="0" fontId="148" fillId="44" borderId="40" xfId="124" applyFont="1" applyFill="1" applyBorder="1" applyAlignment="1">
      <alignment horizontal="center" vertical="center"/>
    </xf>
    <xf numFmtId="0" fontId="9" fillId="44" borderId="40" xfId="124" applyFont="1" applyFill="1" applyBorder="1" applyAlignment="1">
      <alignment horizontal="center" vertical="center"/>
    </xf>
    <xf numFmtId="0" fontId="8" fillId="44" borderId="42" xfId="124" applyFont="1" applyFill="1" applyBorder="1" applyAlignment="1">
      <alignment vertical="center"/>
    </xf>
    <xf numFmtId="169" fontId="51" fillId="0" borderId="0" xfId="124" applyNumberFormat="1" applyFont="1" applyFill="1" applyBorder="1"/>
    <xf numFmtId="0" fontId="65" fillId="0" borderId="0" xfId="124" applyFont="1" applyFill="1" applyBorder="1"/>
    <xf numFmtId="169" fontId="61" fillId="0" borderId="38" xfId="124" applyNumberFormat="1" applyFont="1" applyBorder="1" applyAlignment="1">
      <alignment horizontal="left"/>
    </xf>
    <xf numFmtId="169" fontId="61" fillId="0" borderId="34" xfId="124" applyNumberFormat="1" applyFont="1" applyBorder="1" applyAlignment="1">
      <alignment horizontal="left"/>
    </xf>
    <xf numFmtId="169" fontId="58" fillId="0" borderId="34" xfId="124" applyNumberFormat="1" applyFont="1" applyFill="1" applyBorder="1"/>
    <xf numFmtId="0" fontId="58" fillId="0" borderId="66" xfId="124" applyFont="1" applyBorder="1" applyAlignment="1">
      <alignment horizontal="left" wrapText="1"/>
    </xf>
    <xf numFmtId="0" fontId="147" fillId="0" borderId="0" xfId="124" applyFont="1" applyBorder="1"/>
    <xf numFmtId="166" fontId="51" fillId="0" borderId="0" xfId="124" applyNumberFormat="1" applyFont="1" applyFill="1" applyBorder="1"/>
    <xf numFmtId="4" fontId="51" fillId="0" borderId="0" xfId="39" applyNumberFormat="1" applyFont="1" applyFill="1" applyBorder="1"/>
    <xf numFmtId="0" fontId="51" fillId="0" borderId="0" xfId="124" applyFont="1" applyFill="1" applyBorder="1"/>
    <xf numFmtId="0" fontId="147" fillId="0" borderId="0" xfId="124" applyFont="1" applyFill="1" applyBorder="1"/>
    <xf numFmtId="0" fontId="51" fillId="0" borderId="47" xfId="124" applyFont="1" applyFill="1" applyBorder="1"/>
    <xf numFmtId="166" fontId="51" fillId="0" borderId="28" xfId="124" applyNumberFormat="1" applyFont="1" applyFill="1" applyBorder="1"/>
    <xf numFmtId="0" fontId="61" fillId="0" borderId="38" xfId="124" applyFont="1" applyFill="1" applyBorder="1" applyAlignment="1">
      <alignment horizontal="left"/>
    </xf>
    <xf numFmtId="0" fontId="61" fillId="0" borderId="34" xfId="124" applyFont="1" applyFill="1" applyBorder="1" applyAlignment="1">
      <alignment horizontal="left"/>
    </xf>
    <xf numFmtId="0" fontId="43" fillId="0" borderId="28" xfId="124" applyFont="1" applyBorder="1"/>
    <xf numFmtId="0" fontId="65" fillId="0" borderId="32" xfId="124" applyFont="1" applyBorder="1"/>
    <xf numFmtId="0" fontId="51" fillId="0" borderId="32" xfId="124" applyFont="1" applyBorder="1"/>
    <xf numFmtId="4" fontId="51" fillId="0" borderId="32" xfId="124" applyNumberFormat="1" applyFont="1" applyBorder="1"/>
    <xf numFmtId="42" fontId="51" fillId="0" borderId="32" xfId="124" applyNumberFormat="1" applyFont="1" applyBorder="1"/>
    <xf numFmtId="0" fontId="65" fillId="0" borderId="31" xfId="124" applyFont="1" applyBorder="1"/>
    <xf numFmtId="42" fontId="51" fillId="0" borderId="33" xfId="124" applyNumberFormat="1" applyFont="1" applyBorder="1"/>
    <xf numFmtId="169" fontId="61" fillId="0" borderId="38" xfId="124" applyNumberFormat="1" applyFont="1" applyFill="1" applyBorder="1" applyAlignment="1">
      <alignment horizontal="left"/>
    </xf>
    <xf numFmtId="169" fontId="61" fillId="0" borderId="34" xfId="124" applyNumberFormat="1" applyFont="1" applyFill="1" applyBorder="1" applyAlignment="1">
      <alignment horizontal="left"/>
    </xf>
    <xf numFmtId="0" fontId="61" fillId="0" borderId="38" xfId="146" applyFont="1" applyFill="1" applyBorder="1" applyAlignment="1">
      <alignment horizontal="left" wrapText="1"/>
    </xf>
    <xf numFmtId="0" fontId="61" fillId="0" borderId="34" xfId="146" applyFont="1" applyFill="1" applyBorder="1" applyAlignment="1">
      <alignment horizontal="left" wrapText="1"/>
    </xf>
    <xf numFmtId="165" fontId="58" fillId="0" borderId="34" xfId="124" applyNumberFormat="1" applyFont="1" applyFill="1" applyBorder="1"/>
    <xf numFmtId="6" fontId="58" fillId="0" borderId="34" xfId="124" applyNumberFormat="1" applyFont="1" applyFill="1" applyBorder="1"/>
    <xf numFmtId="0" fontId="58" fillId="0" borderId="66" xfId="115" applyFont="1" applyBorder="1" applyAlignment="1">
      <alignment vertical="center" wrapText="1"/>
    </xf>
    <xf numFmtId="10" fontId="51" fillId="0" borderId="0" xfId="124" applyNumberFormat="1" applyFont="1" applyBorder="1"/>
    <xf numFmtId="169" fontId="61" fillId="44" borderId="38" xfId="124" applyNumberFormat="1" applyFont="1" applyFill="1" applyBorder="1" applyAlignment="1">
      <alignment horizontal="center"/>
    </xf>
    <xf numFmtId="169" fontId="61" fillId="44" borderId="34" xfId="124" applyNumberFormat="1" applyFont="1" applyFill="1" applyBorder="1" applyAlignment="1">
      <alignment horizontal="center"/>
    </xf>
    <xf numFmtId="0" fontId="61" fillId="44" borderId="34" xfId="124" applyFont="1" applyFill="1" applyBorder="1" applyAlignment="1">
      <alignment horizontal="center"/>
    </xf>
    <xf numFmtId="0" fontId="58" fillId="44" borderId="66" xfId="124" applyFont="1" applyFill="1" applyBorder="1"/>
    <xf numFmtId="44" fontId="51" fillId="0" borderId="32" xfId="124" applyNumberFormat="1" applyFont="1" applyBorder="1"/>
    <xf numFmtId="44" fontId="147" fillId="0" borderId="46" xfId="124" applyNumberFormat="1" applyFont="1" applyBorder="1"/>
    <xf numFmtId="4" fontId="58" fillId="0" borderId="34" xfId="124" applyNumberFormat="1" applyFont="1" applyBorder="1"/>
    <xf numFmtId="0" fontId="58" fillId="0" borderId="66" xfId="124" applyFont="1" applyBorder="1"/>
    <xf numFmtId="169" fontId="147" fillId="0" borderId="0" xfId="124" applyNumberFormat="1" applyFont="1" applyBorder="1"/>
    <xf numFmtId="10" fontId="54" fillId="0" borderId="0" xfId="124" applyNumberFormat="1" applyFont="1" applyBorder="1"/>
    <xf numFmtId="44" fontId="54" fillId="0" borderId="0" xfId="124" applyNumberFormat="1" applyFont="1" applyBorder="1"/>
    <xf numFmtId="169" fontId="147" fillId="0" borderId="47" xfId="124" applyNumberFormat="1" applyFont="1" applyBorder="1"/>
    <xf numFmtId="44" fontId="54" fillId="0" borderId="28" xfId="124" applyNumberFormat="1" applyFont="1" applyBorder="1"/>
    <xf numFmtId="0" fontId="61" fillId="0" borderId="38" xfId="124" applyFont="1" applyBorder="1" applyAlignment="1">
      <alignment horizontal="left"/>
    </xf>
    <xf numFmtId="0" fontId="61" fillId="0" borderId="34" xfId="124" applyFont="1" applyBorder="1" applyAlignment="1">
      <alignment horizontal="left"/>
    </xf>
    <xf numFmtId="166" fontId="51" fillId="0" borderId="0" xfId="124" applyNumberFormat="1" applyFont="1" applyBorder="1"/>
    <xf numFmtId="44" fontId="51" fillId="0" borderId="0" xfId="124" applyNumberFormat="1" applyFont="1" applyBorder="1"/>
    <xf numFmtId="44" fontId="51" fillId="0" borderId="28" xfId="124" applyNumberFormat="1" applyFont="1" applyBorder="1"/>
    <xf numFmtId="169" fontId="51" fillId="0" borderId="47" xfId="124" applyNumberFormat="1" applyFont="1" applyBorder="1" applyAlignment="1">
      <alignment horizontal="left"/>
    </xf>
    <xf numFmtId="0" fontId="51" fillId="0" borderId="0" xfId="124" applyFont="1" applyBorder="1" applyAlignment="1">
      <alignment horizontal="left"/>
    </xf>
    <xf numFmtId="0" fontId="61" fillId="0" borderId="38" xfId="124" applyFont="1" applyBorder="1" applyAlignment="1">
      <alignment horizontal="center"/>
    </xf>
    <xf numFmtId="0" fontId="61" fillId="0" borderId="34" xfId="124" applyFont="1" applyBorder="1" applyAlignment="1">
      <alignment horizontal="center"/>
    </xf>
    <xf numFmtId="2" fontId="58" fillId="0" borderId="34" xfId="124" applyNumberFormat="1" applyFont="1" applyBorder="1"/>
    <xf numFmtId="0" fontId="149" fillId="0" borderId="47" xfId="124" applyFont="1" applyFill="1" applyBorder="1" applyAlignment="1">
      <alignment horizontal="left"/>
    </xf>
    <xf numFmtId="0" fontId="149" fillId="0" borderId="0" xfId="124" applyFont="1" applyFill="1" applyBorder="1" applyAlignment="1">
      <alignment horizontal="left"/>
    </xf>
    <xf numFmtId="44" fontId="51" fillId="0" borderId="0" xfId="124" applyNumberFormat="1" applyFont="1" applyFill="1" applyBorder="1"/>
    <xf numFmtId="0" fontId="149" fillId="0" borderId="47" xfId="124" applyFont="1" applyFill="1" applyBorder="1" applyAlignment="1">
      <alignment horizontal="left"/>
    </xf>
    <xf numFmtId="0" fontId="149" fillId="0" borderId="0" xfId="124" applyFont="1" applyFill="1" applyBorder="1" applyAlignment="1">
      <alignment horizontal="left"/>
    </xf>
    <xf numFmtId="0" fontId="61" fillId="44" borderId="38" xfId="124" applyFont="1" applyFill="1" applyBorder="1"/>
    <xf numFmtId="0" fontId="61" fillId="44" borderId="34" xfId="124" applyFont="1" applyFill="1" applyBorder="1"/>
    <xf numFmtId="0" fontId="149" fillId="0" borderId="47" xfId="124" applyFont="1" applyBorder="1" applyAlignment="1">
      <alignment horizontal="left"/>
    </xf>
    <xf numFmtId="0" fontId="149" fillId="0" borderId="0" xfId="124" applyFont="1" applyBorder="1" applyAlignment="1">
      <alignment horizontal="left"/>
    </xf>
    <xf numFmtId="166" fontId="51" fillId="0" borderId="44" xfId="124" applyNumberFormat="1" applyFont="1" applyBorder="1"/>
    <xf numFmtId="10" fontId="58" fillId="0" borderId="34" xfId="124" applyNumberFormat="1" applyFont="1" applyBorder="1"/>
    <xf numFmtId="10" fontId="58" fillId="0" borderId="34" xfId="124" applyNumberFormat="1" applyFont="1" applyFill="1" applyBorder="1"/>
    <xf numFmtId="0" fontId="58" fillId="0" borderId="66" xfId="124" applyFont="1" applyBorder="1" applyAlignment="1">
      <alignment wrapText="1"/>
    </xf>
    <xf numFmtId="166" fontId="51" fillId="0" borderId="150" xfId="124" applyNumberFormat="1" applyFont="1" applyBorder="1"/>
    <xf numFmtId="166" fontId="51" fillId="0" borderId="46" xfId="124" applyNumberFormat="1" applyFont="1" applyBorder="1"/>
    <xf numFmtId="169" fontId="61" fillId="0" borderId="65" xfId="124" applyNumberFormat="1" applyFont="1" applyBorder="1" applyAlignment="1">
      <alignment horizontal="left"/>
    </xf>
    <xf numFmtId="169" fontId="61" fillId="0" borderId="33" xfId="124" applyNumberFormat="1" applyFont="1" applyBorder="1" applyAlignment="1">
      <alignment horizontal="left"/>
    </xf>
    <xf numFmtId="10" fontId="58" fillId="0" borderId="34" xfId="65" applyNumberFormat="1" applyFont="1" applyFill="1" applyBorder="1"/>
    <xf numFmtId="0" fontId="65" fillId="0" borderId="47" xfId="124" applyFont="1" applyBorder="1" applyAlignment="1">
      <alignment horizontal="left"/>
    </xf>
    <xf numFmtId="0" fontId="65" fillId="0" borderId="0" xfId="124" applyFont="1" applyBorder="1" applyAlignment="1">
      <alignment horizontal="left"/>
    </xf>
    <xf numFmtId="10" fontId="58" fillId="0" borderId="34" xfId="124" applyNumberFormat="1" applyFont="1" applyBorder="1" applyAlignment="1">
      <alignment wrapText="1"/>
    </xf>
    <xf numFmtId="0" fontId="58" fillId="0" borderId="66" xfId="115" applyFont="1" applyBorder="1" applyAlignment="1">
      <alignment horizontal="left" vertical="center" wrapText="1"/>
    </xf>
    <xf numFmtId="166" fontId="51" fillId="0" borderId="28" xfId="124" applyNumberFormat="1" applyFont="1" applyBorder="1"/>
    <xf numFmtId="44" fontId="58" fillId="0" borderId="34" xfId="65" applyFont="1" applyFill="1" applyBorder="1"/>
    <xf numFmtId="0" fontId="61" fillId="0" borderId="65" xfId="124" applyFont="1" applyBorder="1" applyAlignment="1">
      <alignment horizontal="left"/>
    </xf>
    <xf numFmtId="0" fontId="61" fillId="0" borderId="33" xfId="124" applyFont="1" applyBorder="1" applyAlignment="1">
      <alignment horizontal="left"/>
    </xf>
    <xf numFmtId="0" fontId="61" fillId="44" borderId="38" xfId="124" applyFont="1" applyFill="1" applyBorder="1" applyAlignment="1">
      <alignment horizontal="center"/>
    </xf>
    <xf numFmtId="0" fontId="61" fillId="44" borderId="34" xfId="124" applyFont="1" applyFill="1" applyBorder="1" applyAlignment="1">
      <alignment horizontal="center"/>
    </xf>
    <xf numFmtId="44" fontId="58" fillId="0" borderId="34" xfId="124" applyNumberFormat="1" applyFont="1" applyBorder="1"/>
    <xf numFmtId="166" fontId="51" fillId="0" borderId="0" xfId="58" applyNumberFormat="1" applyFont="1" applyBorder="1"/>
    <xf numFmtId="166" fontId="58" fillId="0" borderId="34" xfId="124" applyNumberFormat="1" applyFont="1" applyBorder="1"/>
    <xf numFmtId="0" fontId="65" fillId="0" borderId="43" xfId="124" applyFont="1" applyBorder="1"/>
    <xf numFmtId="0" fontId="51" fillId="0" borderId="43" xfId="124" applyFont="1" applyBorder="1"/>
    <xf numFmtId="42" fontId="51" fillId="0" borderId="43" xfId="124" applyNumberFormat="1" applyFont="1" applyBorder="1"/>
    <xf numFmtId="0" fontId="65" fillId="0" borderId="151" xfId="124" applyFont="1" applyBorder="1"/>
    <xf numFmtId="42" fontId="51" fillId="0" borderId="152" xfId="124" applyNumberFormat="1" applyFont="1" applyBorder="1"/>
    <xf numFmtId="166" fontId="51" fillId="0" borderId="0" xfId="68" applyNumberFormat="1" applyFont="1" applyBorder="1"/>
    <xf numFmtId="166" fontId="51" fillId="0" borderId="28" xfId="68" applyNumberFormat="1" applyFont="1" applyBorder="1"/>
    <xf numFmtId="0" fontId="98" fillId="0" borderId="0" xfId="124" applyFont="1" applyBorder="1" applyAlignment="1">
      <alignment horizontal="right"/>
    </xf>
    <xf numFmtId="0" fontId="98" fillId="0" borderId="28" xfId="124" applyFont="1" applyBorder="1" applyAlignment="1">
      <alignment horizontal="right"/>
    </xf>
    <xf numFmtId="44" fontId="51" fillId="0" borderId="0" xfId="68" applyFont="1" applyBorder="1"/>
    <xf numFmtId="44" fontId="51" fillId="0" borderId="28" xfId="68" applyFont="1" applyBorder="1"/>
    <xf numFmtId="0" fontId="61" fillId="0" borderId="80" xfId="124" applyFont="1" applyFill="1" applyBorder="1" applyAlignment="1">
      <alignment horizontal="left"/>
    </xf>
    <xf numFmtId="0" fontId="61" fillId="0" borderId="79" xfId="124" applyFont="1" applyFill="1" applyBorder="1" applyAlignment="1">
      <alignment horizontal="left"/>
    </xf>
    <xf numFmtId="44" fontId="58" fillId="0" borderId="79" xfId="124" applyNumberFormat="1" applyFont="1" applyBorder="1"/>
    <xf numFmtId="0" fontId="58" fillId="0" borderId="73" xfId="124" applyFont="1" applyBorder="1"/>
    <xf numFmtId="172" fontId="51" fillId="0" borderId="31" xfId="124" applyNumberFormat="1" applyFont="1" applyFill="1" applyBorder="1" applyAlignment="1"/>
    <xf numFmtId="9" fontId="51" fillId="0" borderId="32" xfId="124" applyNumberFormat="1" applyFont="1" applyFill="1" applyBorder="1" applyAlignment="1"/>
    <xf numFmtId="169" fontId="51" fillId="0" borderId="32" xfId="124" applyNumberFormat="1" applyFont="1" applyFill="1" applyBorder="1" applyAlignment="1"/>
    <xf numFmtId="44" fontId="51" fillId="0" borderId="32" xfId="68" applyFont="1" applyFill="1" applyBorder="1" applyAlignment="1"/>
    <xf numFmtId="44" fontId="51" fillId="32" borderId="33" xfId="68" applyFont="1" applyFill="1" applyBorder="1" applyAlignment="1"/>
    <xf numFmtId="10" fontId="147" fillId="0" borderId="46" xfId="181" applyNumberFormat="1" applyFont="1" applyFill="1" applyBorder="1"/>
    <xf numFmtId="172" fontId="51" fillId="0" borderId="56" xfId="124" applyNumberFormat="1" applyFont="1" applyFill="1" applyBorder="1" applyAlignment="1"/>
    <xf numFmtId="9" fontId="51" fillId="0" borderId="56" xfId="124" applyNumberFormat="1" applyFont="1" applyFill="1" applyBorder="1" applyAlignment="1"/>
    <xf numFmtId="169" fontId="51" fillId="0" borderId="56" xfId="124" applyNumberFormat="1" applyFont="1" applyFill="1" applyBorder="1" applyAlignment="1"/>
    <xf numFmtId="44" fontId="51" fillId="0" borderId="56" xfId="68" applyFont="1" applyFill="1" applyBorder="1" applyAlignment="1"/>
    <xf numFmtId="44" fontId="51" fillId="32" borderId="56" xfId="68" applyFont="1" applyFill="1" applyBorder="1" applyAlignment="1"/>
    <xf numFmtId="0" fontId="150" fillId="0" borderId="0" xfId="124" applyFont="1" applyBorder="1"/>
    <xf numFmtId="0" fontId="21" fillId="0" borderId="0" xfId="124" applyFont="1" applyBorder="1"/>
    <xf numFmtId="9" fontId="21" fillId="0" borderId="0" xfId="124" applyNumberFormat="1" applyFont="1" applyBorder="1"/>
    <xf numFmtId="0" fontId="19" fillId="0" borderId="0" xfId="124" applyFont="1" applyBorder="1"/>
    <xf numFmtId="44" fontId="19" fillId="0" borderId="0" xfId="68" applyFont="1" applyBorder="1" applyAlignment="1"/>
    <xf numFmtId="10" fontId="12" fillId="0" borderId="0" xfId="181" applyNumberFormat="1" applyFont="1" applyBorder="1"/>
    <xf numFmtId="0" fontId="21" fillId="0" borderId="56" xfId="124" applyFont="1" applyBorder="1"/>
    <xf numFmtId="9" fontId="21" fillId="0" borderId="56" xfId="124" applyNumberFormat="1" applyFont="1" applyBorder="1"/>
    <xf numFmtId="0" fontId="19" fillId="0" borderId="56" xfId="124" applyFont="1" applyBorder="1"/>
    <xf numFmtId="44" fontId="19" fillId="0" borderId="56" xfId="68" applyFont="1" applyBorder="1" applyAlignment="1"/>
    <xf numFmtId="172" fontId="19" fillId="0" borderId="56" xfId="124" applyNumberFormat="1" applyFont="1" applyBorder="1" applyAlignment="1"/>
    <xf numFmtId="9" fontId="19" fillId="0" borderId="56" xfId="124" applyNumberFormat="1" applyFont="1" applyBorder="1" applyAlignment="1"/>
    <xf numFmtId="169" fontId="19" fillId="0" borderId="56" xfId="124" applyNumberFormat="1" applyFont="1" applyBorder="1" applyAlignment="1"/>
    <xf numFmtId="10" fontId="43" fillId="0" borderId="0" xfId="181" applyNumberFormat="1" applyFont="1" applyBorder="1"/>
    <xf numFmtId="0" fontId="150" fillId="0" borderId="0" xfId="124" applyFont="1"/>
    <xf numFmtId="166" fontId="150" fillId="0" borderId="0" xfId="205" applyNumberFormat="1" applyFont="1" applyFill="1"/>
    <xf numFmtId="0" fontId="151" fillId="0" borderId="0" xfId="124" applyFont="1"/>
    <xf numFmtId="10" fontId="12" fillId="0" borderId="0" xfId="124" applyNumberFormat="1"/>
    <xf numFmtId="44" fontId="43" fillId="0" borderId="0" xfId="124" applyNumberFormat="1" applyFont="1" applyBorder="1"/>
    <xf numFmtId="0" fontId="0" fillId="0" borderId="0" xfId="0" applyAlignment="1">
      <alignment horizontal="center" wrapText="1"/>
    </xf>
    <xf numFmtId="0" fontId="152" fillId="0" borderId="3" xfId="0" applyFont="1" applyBorder="1"/>
    <xf numFmtId="0" fontId="153" fillId="0" borderId="5" xfId="0" applyFont="1" applyBorder="1" applyAlignment="1">
      <alignment horizontal="center"/>
    </xf>
    <xf numFmtId="0" fontId="153" fillId="0" borderId="5" xfId="0" applyFont="1" applyBorder="1" applyAlignment="1">
      <alignment horizontal="center" wrapText="1"/>
    </xf>
    <xf numFmtId="0" fontId="153" fillId="0" borderId="5" xfId="0" applyFont="1" applyBorder="1"/>
    <xf numFmtId="0" fontId="153" fillId="0" borderId="6" xfId="0" applyFont="1" applyBorder="1"/>
    <xf numFmtId="0" fontId="152" fillId="0" borderId="8" xfId="0" applyFont="1" applyBorder="1"/>
    <xf numFmtId="0" fontId="153" fillId="0" borderId="0" xfId="0" applyFont="1" applyBorder="1" applyAlignment="1">
      <alignment horizontal="left"/>
    </xf>
    <xf numFmtId="0" fontId="153" fillId="0" borderId="13" xfId="0" applyFont="1" applyBorder="1" applyAlignment="1">
      <alignment horizontal="left"/>
    </xf>
    <xf numFmtId="14" fontId="154" fillId="0" borderId="0" xfId="0" applyNumberFormat="1" applyFont="1" applyBorder="1" applyAlignment="1">
      <alignment horizontal="left"/>
    </xf>
    <xf numFmtId="0" fontId="153" fillId="0" borderId="0" xfId="0" applyFont="1" applyBorder="1" applyAlignment="1">
      <alignment horizontal="center"/>
    </xf>
    <xf numFmtId="0" fontId="153" fillId="0" borderId="0" xfId="0" applyFont="1" applyBorder="1"/>
    <xf numFmtId="0" fontId="153" fillId="0" borderId="13" xfId="0" applyFont="1" applyBorder="1"/>
    <xf numFmtId="0" fontId="49" fillId="0" borderId="8" xfId="0" applyFont="1" applyBorder="1"/>
    <xf numFmtId="0" fontId="134" fillId="53" borderId="153" xfId="0" applyFont="1" applyFill="1" applyBorder="1" applyAlignment="1">
      <alignment horizontal="center"/>
    </xf>
    <xf numFmtId="0" fontId="134" fillId="54" borderId="153" xfId="0" applyFont="1" applyFill="1" applyBorder="1" applyAlignment="1">
      <alignment horizontal="center"/>
    </xf>
    <xf numFmtId="0" fontId="134" fillId="54" borderId="50" xfId="0" applyFont="1" applyFill="1" applyBorder="1" applyAlignment="1">
      <alignment horizontal="center"/>
    </xf>
    <xf numFmtId="0" fontId="134" fillId="54" borderId="50" xfId="0" applyFont="1" applyFill="1" applyBorder="1" applyAlignment="1">
      <alignment horizontal="center" wrapText="1"/>
    </xf>
    <xf numFmtId="0" fontId="134" fillId="0" borderId="50" xfId="0" applyFont="1" applyBorder="1" applyAlignment="1">
      <alignment horizontal="center"/>
    </xf>
    <xf numFmtId="0" fontId="49" fillId="0" borderId="52" xfId="0" applyFont="1" applyBorder="1" applyAlignment="1"/>
    <xf numFmtId="0" fontId="134" fillId="0" borderId="38" xfId="0" applyFont="1" applyBorder="1" applyAlignment="1">
      <alignment horizontal="right"/>
    </xf>
    <xf numFmtId="165" fontId="134" fillId="0" borderId="40" xfId="0" applyNumberFormat="1" applyFont="1" applyBorder="1" applyAlignment="1">
      <alignment horizontal="center"/>
    </xf>
    <xf numFmtId="165" fontId="134" fillId="0" borderId="41" xfId="0" applyNumberFormat="1" applyFont="1" applyBorder="1" applyAlignment="1">
      <alignment horizontal="center"/>
    </xf>
    <xf numFmtId="0" fontId="134" fillId="0" borderId="41" xfId="0" applyFont="1" applyBorder="1" applyAlignment="1"/>
    <xf numFmtId="0" fontId="134" fillId="0" borderId="58" xfId="0" applyFont="1" applyBorder="1" applyAlignment="1"/>
    <xf numFmtId="10" fontId="6" fillId="0" borderId="34" xfId="0" applyNumberFormat="1" applyFont="1" applyBorder="1" applyAlignment="1">
      <alignment horizontal="center"/>
    </xf>
    <xf numFmtId="0" fontId="134" fillId="0" borderId="31" xfId="0" applyFont="1" applyBorder="1" applyAlignment="1"/>
    <xf numFmtId="0" fontId="134" fillId="0" borderId="77" xfId="0" applyFont="1" applyBorder="1" applyAlignment="1"/>
    <xf numFmtId="0" fontId="134" fillId="0" borderId="67" xfId="0" applyFont="1" applyBorder="1" applyAlignment="1">
      <alignment horizontal="right"/>
    </xf>
    <xf numFmtId="165" fontId="6" fillId="0" borderId="44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0" fontId="134" fillId="0" borderId="38" xfId="0" applyFont="1" applyFill="1" applyBorder="1" applyAlignment="1">
      <alignment horizontal="right"/>
    </xf>
    <xf numFmtId="5" fontId="6" fillId="0" borderId="34" xfId="205" applyNumberFormat="1" applyFont="1" applyFill="1" applyBorder="1" applyAlignment="1">
      <alignment horizontal="center"/>
    </xf>
    <xf numFmtId="5" fontId="6" fillId="0" borderId="31" xfId="205" applyNumberFormat="1" applyFont="1" applyFill="1" applyBorder="1" applyAlignment="1">
      <alignment horizontal="center"/>
    </xf>
    <xf numFmtId="10" fontId="134" fillId="0" borderId="31" xfId="0" applyNumberFormat="1" applyFont="1" applyBorder="1" applyAlignment="1">
      <alignment horizontal="center"/>
    </xf>
    <xf numFmtId="0" fontId="134" fillId="0" borderId="77" xfId="0" applyFont="1" applyBorder="1" applyAlignment="1"/>
    <xf numFmtId="5" fontId="6" fillId="0" borderId="44" xfId="205" applyNumberFormat="1" applyFont="1" applyFill="1" applyBorder="1" applyAlignment="1">
      <alignment horizontal="center"/>
    </xf>
    <xf numFmtId="0" fontId="134" fillId="0" borderId="8" xfId="0" applyFont="1" applyBorder="1" applyAlignment="1">
      <alignment horizontal="right"/>
    </xf>
    <xf numFmtId="37" fontId="6" fillId="0" borderId="153" xfId="1" applyNumberFormat="1" applyFont="1" applyBorder="1" applyAlignment="1">
      <alignment horizontal="center"/>
    </xf>
    <xf numFmtId="10" fontId="49" fillId="0" borderId="32" xfId="0" applyNumberFormat="1" applyFont="1" applyBorder="1" applyAlignment="1">
      <alignment horizontal="center"/>
    </xf>
    <xf numFmtId="0" fontId="49" fillId="0" borderId="77" xfId="0" applyFont="1" applyBorder="1" applyAlignment="1"/>
    <xf numFmtId="0" fontId="134" fillId="0" borderId="153" xfId="0" applyFont="1" applyFill="1" applyBorder="1" applyAlignment="1">
      <alignment horizontal="right"/>
    </xf>
    <xf numFmtId="164" fontId="134" fillId="32" borderId="153" xfId="0" applyNumberFormat="1" applyFont="1" applyFill="1" applyBorder="1" applyAlignment="1">
      <alignment horizontal="center"/>
    </xf>
    <xf numFmtId="0" fontId="49" fillId="0" borderId="32" xfId="0" applyFont="1" applyFill="1" applyBorder="1" applyAlignment="1"/>
    <xf numFmtId="0" fontId="49" fillId="0" borderId="77" xfId="0" applyFont="1" applyFill="1" applyBorder="1" applyAlignment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9" fillId="53" borderId="0" xfId="0" applyFont="1" applyFill="1"/>
    <xf numFmtId="0" fontId="0" fillId="53" borderId="0" xfId="0" applyFill="1" applyAlignment="1">
      <alignment horizontal="center"/>
    </xf>
    <xf numFmtId="0" fontId="0" fillId="53" borderId="0" xfId="0" applyFill="1" applyAlignment="1">
      <alignment horizontal="center" wrapText="1"/>
    </xf>
    <xf numFmtId="0" fontId="0" fillId="54" borderId="0" xfId="0" applyFill="1"/>
    <xf numFmtId="0" fontId="0" fillId="54" borderId="0" xfId="0" applyFill="1" applyAlignment="1">
      <alignment horizontal="center"/>
    </xf>
    <xf numFmtId="0" fontId="155" fillId="55" borderId="3" xfId="160" applyFont="1" applyFill="1" applyBorder="1"/>
    <xf numFmtId="0" fontId="155" fillId="55" borderId="5" xfId="160" applyFont="1" applyFill="1" applyBorder="1"/>
    <xf numFmtId="0" fontId="155" fillId="55" borderId="5" xfId="160" applyFont="1" applyFill="1" applyBorder="1" applyAlignment="1">
      <alignment horizontal="center"/>
    </xf>
    <xf numFmtId="169" fontId="155" fillId="55" borderId="6" xfId="160" applyNumberFormat="1" applyFont="1" applyFill="1" applyBorder="1" applyAlignment="1">
      <alignment horizontal="center"/>
    </xf>
    <xf numFmtId="0" fontId="156" fillId="55" borderId="8" xfId="160" applyFont="1" applyFill="1" applyBorder="1"/>
    <xf numFmtId="0" fontId="156" fillId="55" borderId="0" xfId="160" applyFont="1" applyFill="1" applyBorder="1" applyAlignment="1">
      <alignment horizontal="right"/>
    </xf>
    <xf numFmtId="0" fontId="157" fillId="55" borderId="0" xfId="160" applyFont="1" applyFill="1" applyBorder="1" applyAlignment="1">
      <alignment horizontal="center"/>
    </xf>
    <xf numFmtId="0" fontId="156" fillId="55" borderId="13" xfId="160" applyFont="1" applyFill="1" applyBorder="1" applyAlignment="1">
      <alignment horizontal="center"/>
    </xf>
    <xf numFmtId="0" fontId="156" fillId="55" borderId="54" xfId="160" applyFont="1" applyFill="1" applyBorder="1"/>
    <xf numFmtId="0" fontId="156" fillId="55" borderId="30" xfId="160" applyFont="1" applyFill="1" applyBorder="1" applyAlignment="1">
      <alignment horizontal="right"/>
    </xf>
    <xf numFmtId="1" fontId="157" fillId="55" borderId="30" xfId="160" applyNumberFormat="1" applyFont="1" applyFill="1" applyBorder="1" applyAlignment="1">
      <alignment horizontal="center"/>
    </xf>
    <xf numFmtId="1" fontId="156" fillId="55" borderId="58" xfId="160" applyNumberFormat="1" applyFont="1" applyFill="1" applyBorder="1" applyAlignment="1">
      <alignment horizontal="center"/>
    </xf>
    <xf numFmtId="0" fontId="156" fillId="55" borderId="54" xfId="160" applyFont="1" applyFill="1" applyBorder="1" applyAlignment="1">
      <alignment horizontal="left"/>
    </xf>
    <xf numFmtId="0" fontId="158" fillId="55" borderId="30" xfId="160" applyFont="1" applyFill="1" applyBorder="1" applyAlignment="1">
      <alignment horizontal="right"/>
    </xf>
    <xf numFmtId="0" fontId="156" fillId="55" borderId="58" xfId="160" applyFont="1" applyFill="1" applyBorder="1" applyAlignment="1">
      <alignment horizontal="center"/>
    </xf>
    <xf numFmtId="0" fontId="156" fillId="55" borderId="0" xfId="160" applyFont="1" applyFill="1" applyBorder="1"/>
    <xf numFmtId="1" fontId="156" fillId="55" borderId="13" xfId="160" applyNumberFormat="1" applyFont="1" applyFill="1" applyBorder="1" applyAlignment="1">
      <alignment horizontal="center"/>
    </xf>
    <xf numFmtId="0" fontId="156" fillId="55" borderId="12" xfId="160" applyFont="1" applyFill="1" applyBorder="1"/>
    <xf numFmtId="0" fontId="156" fillId="55" borderId="9" xfId="160" applyFont="1" applyFill="1" applyBorder="1"/>
    <xf numFmtId="0" fontId="156" fillId="55" borderId="9" xfId="160" applyFont="1" applyFill="1" applyBorder="1" applyAlignment="1">
      <alignment horizontal="right"/>
    </xf>
    <xf numFmtId="1" fontId="156" fillId="55" borderId="10" xfId="160" applyNumberFormat="1" applyFont="1" applyFill="1" applyBorder="1" applyAlignment="1">
      <alignment horizontal="center"/>
    </xf>
    <xf numFmtId="0" fontId="156" fillId="55" borderId="10" xfId="160" applyFont="1" applyFill="1" applyBorder="1" applyAlignment="1">
      <alignment horizontal="center"/>
    </xf>
    <xf numFmtId="166" fontId="1" fillId="0" borderId="0" xfId="205" applyNumberFormat="1" applyFont="1" applyAlignment="1">
      <alignment wrapText="1"/>
    </xf>
    <xf numFmtId="0" fontId="11" fillId="0" borderId="0" xfId="271" applyAlignment="1">
      <alignment wrapText="1"/>
    </xf>
    <xf numFmtId="167" fontId="11" fillId="0" borderId="0" xfId="271" applyNumberFormat="1" applyAlignment="1">
      <alignment wrapText="1"/>
    </xf>
    <xf numFmtId="166" fontId="1" fillId="56" borderId="0" xfId="205" applyNumberFormat="1" applyFont="1" applyFill="1" applyAlignment="1">
      <alignment wrapText="1"/>
    </xf>
    <xf numFmtId="9" fontId="1" fillId="0" borderId="0" xfId="283" applyFont="1" applyAlignment="1">
      <alignment wrapText="1"/>
    </xf>
    <xf numFmtId="0" fontId="49" fillId="2" borderId="0" xfId="207" applyFont="1" applyAlignment="1">
      <alignment wrapText="1"/>
    </xf>
    <xf numFmtId="166" fontId="49" fillId="2" borderId="44" xfId="207" applyNumberFormat="1" applyFont="1" applyBorder="1" applyAlignment="1">
      <alignment wrapText="1"/>
    </xf>
    <xf numFmtId="0" fontId="11" fillId="0" borderId="0" xfId="271" applyAlignment="1">
      <alignment horizontal="center" wrapText="1"/>
    </xf>
    <xf numFmtId="0" fontId="11" fillId="0" borderId="0" xfId="271" applyFill="1" applyAlignment="1">
      <alignment vertical="center" wrapText="1"/>
    </xf>
    <xf numFmtId="0" fontId="11" fillId="0" borderId="0" xfId="271" applyFill="1" applyAlignment="1">
      <alignment horizontal="center" vertical="center" wrapText="1"/>
    </xf>
    <xf numFmtId="10" fontId="43" fillId="0" borderId="0" xfId="271" applyNumberFormat="1" applyFont="1" applyAlignment="1">
      <alignment wrapText="1"/>
    </xf>
    <xf numFmtId="0" fontId="11" fillId="0" borderId="0" xfId="271"/>
    <xf numFmtId="9" fontId="11" fillId="0" borderId="0" xfId="206" applyFont="1"/>
    <xf numFmtId="166" fontId="11" fillId="0" borderId="0" xfId="205" applyNumberFormat="1" applyFont="1" applyAlignment="1">
      <alignment wrapText="1"/>
    </xf>
    <xf numFmtId="9" fontId="11" fillId="0" borderId="0" xfId="206" applyFont="1" applyAlignment="1">
      <alignment wrapText="1"/>
    </xf>
    <xf numFmtId="166" fontId="1" fillId="0" borderId="0" xfId="205" applyNumberFormat="1" applyFont="1"/>
    <xf numFmtId="167" fontId="11" fillId="0" borderId="0" xfId="271" applyNumberFormat="1"/>
    <xf numFmtId="166" fontId="1" fillId="56" borderId="0" xfId="205" applyNumberFormat="1" applyFont="1" applyFill="1"/>
    <xf numFmtId="9" fontId="1" fillId="0" borderId="0" xfId="283" applyFont="1"/>
    <xf numFmtId="0" fontId="11" fillId="0" borderId="46" xfId="271" applyBorder="1"/>
    <xf numFmtId="0" fontId="159" fillId="0" borderId="3" xfId="0" applyFont="1" applyBorder="1" applyAlignment="1">
      <alignment horizontal="center"/>
    </xf>
    <xf numFmtId="0" fontId="159" fillId="0" borderId="6" xfId="0" applyFont="1" applyBorder="1" applyAlignment="1">
      <alignment horizontal="center" wrapText="1"/>
    </xf>
    <xf numFmtId="0" fontId="159" fillId="0" borderId="5" xfId="0" applyFont="1" applyFill="1" applyBorder="1" applyAlignment="1">
      <alignment horizontal="center" wrapText="1"/>
    </xf>
    <xf numFmtId="0" fontId="159" fillId="57" borderId="50" xfId="0" applyFont="1" applyFill="1" applyBorder="1" applyAlignment="1">
      <alignment horizontal="center" vertical="center" wrapText="1"/>
    </xf>
    <xf numFmtId="0" fontId="159" fillId="57" borderId="153" xfId="0" applyFont="1" applyFill="1" applyBorder="1" applyAlignment="1">
      <alignment horizontal="center" wrapText="1"/>
    </xf>
    <xf numFmtId="0" fontId="159" fillId="57" borderId="52" xfId="0" applyFont="1" applyFill="1" applyBorder="1" applyAlignment="1">
      <alignment horizontal="center" vertical="center" wrapText="1"/>
    </xf>
    <xf numFmtId="0" fontId="160" fillId="58" borderId="154" xfId="0" applyFont="1" applyFill="1" applyBorder="1" applyAlignment="1">
      <alignment vertical="center" wrapText="1"/>
    </xf>
    <xf numFmtId="0" fontId="160" fillId="58" borderId="155" xfId="0" applyFont="1" applyFill="1" applyBorder="1" applyAlignment="1">
      <alignment horizontal="center" vertical="center" wrapText="1"/>
    </xf>
    <xf numFmtId="0" fontId="160" fillId="58" borderId="6" xfId="0" applyFont="1" applyFill="1" applyBorder="1" applyAlignment="1">
      <alignment horizontal="center" vertical="center" wrapText="1"/>
    </xf>
    <xf numFmtId="166" fontId="11" fillId="0" borderId="0" xfId="205" applyNumberFormat="1" applyFont="1"/>
    <xf numFmtId="177" fontId="1" fillId="0" borderId="8" xfId="205" applyNumberFormat="1" applyFont="1" applyFill="1" applyBorder="1"/>
    <xf numFmtId="164" fontId="11" fillId="0" borderId="47" xfId="205" applyNumberFormat="1" applyFont="1" applyFill="1" applyBorder="1"/>
    <xf numFmtId="164" fontId="11" fillId="0" borderId="31" xfId="205" applyNumberFormat="1" applyFont="1" applyFill="1" applyBorder="1"/>
    <xf numFmtId="5" fontId="11" fillId="0" borderId="39" xfId="205" applyNumberFormat="1" applyFont="1" applyFill="1" applyBorder="1"/>
    <xf numFmtId="7" fontId="11" fillId="59" borderId="40" xfId="205" applyNumberFormat="1" applyFont="1" applyFill="1" applyBorder="1"/>
    <xf numFmtId="5" fontId="11" fillId="59" borderId="42" xfId="205" applyNumberFormat="1" applyFont="1" applyFill="1" applyBorder="1"/>
    <xf numFmtId="0" fontId="43" fillId="59" borderId="45" xfId="271" applyFont="1" applyFill="1" applyBorder="1" applyAlignment="1">
      <alignment horizontal="center" vertical="center" wrapText="1"/>
    </xf>
    <xf numFmtId="0" fontId="161" fillId="0" borderId="156" xfId="0" applyFont="1" applyBorder="1" applyAlignment="1">
      <alignment vertical="center"/>
    </xf>
    <xf numFmtId="0" fontId="161" fillId="0" borderId="157" xfId="0" applyFont="1" applyBorder="1" applyAlignment="1">
      <alignment horizontal="center" vertical="center"/>
    </xf>
    <xf numFmtId="0" fontId="161" fillId="0" borderId="157" xfId="0" applyFont="1" applyBorder="1" applyAlignment="1">
      <alignment horizontal="right" vertical="center"/>
    </xf>
    <xf numFmtId="4" fontId="161" fillId="0" borderId="158" xfId="0" applyNumberFormat="1" applyFont="1" applyBorder="1" applyAlignment="1">
      <alignment horizontal="right" vertical="center"/>
    </xf>
    <xf numFmtId="10" fontId="11" fillId="0" borderId="0" xfId="206" applyNumberFormat="1" applyFont="1"/>
    <xf numFmtId="5" fontId="11" fillId="0" borderId="38" xfId="205" applyNumberFormat="1" applyFont="1" applyFill="1" applyBorder="1"/>
    <xf numFmtId="5" fontId="11" fillId="59" borderId="66" xfId="205" applyNumberFormat="1" applyFont="1" applyFill="1" applyBorder="1"/>
    <xf numFmtId="0" fontId="162" fillId="59" borderId="28" xfId="271" applyFont="1" applyFill="1" applyBorder="1" applyAlignment="1">
      <alignment horizontal="center" vertical="center" wrapText="1"/>
    </xf>
    <xf numFmtId="0" fontId="11" fillId="60" borderId="44" xfId="271" applyFont="1" applyFill="1" applyBorder="1" applyAlignment="1">
      <alignment horizontal="center" vertical="center" wrapText="1"/>
    </xf>
    <xf numFmtId="164" fontId="11" fillId="0" borderId="47" xfId="271" applyNumberFormat="1" applyFill="1" applyBorder="1"/>
    <xf numFmtId="0" fontId="11" fillId="60" borderId="46" xfId="271" applyFill="1" applyBorder="1" applyAlignment="1">
      <alignment horizontal="center" vertical="center" wrapText="1"/>
    </xf>
    <xf numFmtId="0" fontId="11" fillId="40" borderId="44" xfId="271" applyFont="1" applyFill="1" applyBorder="1" applyAlignment="1">
      <alignment horizontal="center" vertical="center" wrapText="1"/>
    </xf>
    <xf numFmtId="3" fontId="161" fillId="0" borderId="157" xfId="0" applyNumberFormat="1" applyFont="1" applyBorder="1" applyAlignment="1">
      <alignment horizontal="right" vertical="center"/>
    </xf>
    <xf numFmtId="0" fontId="11" fillId="40" borderId="46" xfId="271" applyFill="1" applyBorder="1" applyAlignment="1">
      <alignment horizontal="center" vertical="center" wrapText="1"/>
    </xf>
    <xf numFmtId="0" fontId="162" fillId="59" borderId="49" xfId="271" applyFont="1" applyFill="1" applyBorder="1" applyAlignment="1">
      <alignment horizontal="center" vertical="center" wrapText="1"/>
    </xf>
    <xf numFmtId="0" fontId="11" fillId="60" borderId="40" xfId="271" applyFill="1" applyBorder="1" applyAlignment="1">
      <alignment horizontal="center" vertical="center" wrapText="1"/>
    </xf>
    <xf numFmtId="164" fontId="11" fillId="0" borderId="48" xfId="205" applyNumberFormat="1" applyFont="1" applyFill="1" applyBorder="1"/>
    <xf numFmtId="0" fontId="11" fillId="40" borderId="40" xfId="271" applyFill="1" applyBorder="1" applyAlignment="1">
      <alignment horizontal="center" vertical="center" wrapText="1"/>
    </xf>
    <xf numFmtId="177" fontId="11" fillId="61" borderId="3" xfId="205" applyNumberFormat="1" applyFont="1" applyFill="1" applyBorder="1"/>
    <xf numFmtId="164" fontId="11" fillId="61" borderId="5" xfId="205" applyNumberFormat="1" applyFont="1" applyFill="1" applyBorder="1"/>
    <xf numFmtId="164" fontId="11" fillId="61" borderId="37" xfId="205" applyNumberFormat="1" applyFont="1" applyFill="1" applyBorder="1"/>
    <xf numFmtId="177" fontId="11" fillId="61" borderId="8" xfId="205" applyNumberFormat="1" applyFont="1" applyFill="1" applyBorder="1"/>
    <xf numFmtId="164" fontId="11" fillId="61" borderId="0" xfId="205" applyNumberFormat="1" applyFont="1" applyFill="1" applyBorder="1"/>
    <xf numFmtId="164" fontId="11" fillId="61" borderId="31" xfId="205" applyNumberFormat="1" applyFont="1" applyFill="1" applyBorder="1"/>
    <xf numFmtId="166" fontId="1" fillId="40" borderId="0" xfId="205" applyNumberFormat="1" applyFont="1" applyFill="1"/>
    <xf numFmtId="0" fontId="49" fillId="2" borderId="0" xfId="207" applyFont="1"/>
    <xf numFmtId="166" fontId="49" fillId="2" borderId="46" xfId="207" applyNumberFormat="1" applyFont="1" applyBorder="1"/>
    <xf numFmtId="0" fontId="161" fillId="32" borderId="156" xfId="0" applyFont="1" applyFill="1" applyBorder="1" applyAlignment="1">
      <alignment vertical="center"/>
    </xf>
    <xf numFmtId="0" fontId="161" fillId="32" borderId="157" xfId="0" applyFont="1" applyFill="1" applyBorder="1" applyAlignment="1">
      <alignment horizontal="center" vertical="center"/>
    </xf>
    <xf numFmtId="3" fontId="161" fillId="32" borderId="157" xfId="0" applyNumberFormat="1" applyFont="1" applyFill="1" applyBorder="1" applyAlignment="1">
      <alignment horizontal="right" vertical="center"/>
    </xf>
    <xf numFmtId="4" fontId="161" fillId="32" borderId="158" xfId="0" applyNumberFormat="1" applyFont="1" applyFill="1" applyBorder="1" applyAlignment="1">
      <alignment horizontal="right" vertical="center"/>
    </xf>
    <xf numFmtId="177" fontId="11" fillId="61" borderId="12" xfId="205" applyNumberFormat="1" applyFont="1" applyFill="1" applyBorder="1"/>
    <xf numFmtId="164" fontId="11" fillId="61" borderId="9" xfId="205" applyNumberFormat="1" applyFont="1" applyFill="1" applyBorder="1"/>
    <xf numFmtId="164" fontId="11" fillId="61" borderId="146" xfId="205" applyNumberFormat="1" applyFont="1" applyFill="1" applyBorder="1"/>
    <xf numFmtId="5" fontId="11" fillId="0" borderId="80" xfId="205" applyNumberFormat="1" applyFont="1" applyFill="1" applyBorder="1"/>
    <xf numFmtId="5" fontId="11" fillId="59" borderId="73" xfId="205" applyNumberFormat="1" applyFont="1" applyFill="1" applyBorder="1"/>
    <xf numFmtId="0" fontId="160" fillId="0" borderId="159" xfId="0" applyFont="1" applyBorder="1" applyAlignment="1">
      <alignment vertical="center"/>
    </xf>
    <xf numFmtId="0" fontId="160" fillId="0" borderId="160" xfId="0" applyFont="1" applyBorder="1" applyAlignment="1">
      <alignment horizontal="center" vertical="center"/>
    </xf>
    <xf numFmtId="0" fontId="160" fillId="0" borderId="160" xfId="0" applyFont="1" applyBorder="1" applyAlignment="1">
      <alignment horizontal="right" vertical="center"/>
    </xf>
    <xf numFmtId="8" fontId="160" fillId="0" borderId="10" xfId="0" applyNumberFormat="1" applyFont="1" applyBorder="1" applyAlignment="1">
      <alignment horizontal="right" vertical="center"/>
    </xf>
    <xf numFmtId="166" fontId="11" fillId="0" borderId="0" xfId="271" applyNumberFormat="1"/>
    <xf numFmtId="0" fontId="11" fillId="0" borderId="0" xfId="271" applyFill="1"/>
    <xf numFmtId="166" fontId="1" fillId="62" borderId="0" xfId="205" applyNumberFormat="1" applyFont="1" applyFill="1"/>
    <xf numFmtId="166" fontId="1" fillId="63" borderId="0" xfId="205" applyNumberFormat="1" applyFont="1" applyFill="1"/>
    <xf numFmtId="166" fontId="1" fillId="64" borderId="0" xfId="205" applyNumberFormat="1" applyFont="1" applyFill="1"/>
    <xf numFmtId="166" fontId="1" fillId="65" borderId="0" xfId="205" applyNumberFormat="1" applyFont="1" applyFill="1"/>
    <xf numFmtId="166" fontId="1" fillId="66" borderId="0" xfId="205" applyNumberFormat="1" applyFont="1" applyFill="1"/>
    <xf numFmtId="166" fontId="1" fillId="67" borderId="0" xfId="205" applyNumberFormat="1" applyFont="1" applyFill="1"/>
    <xf numFmtId="166" fontId="1" fillId="60" borderId="0" xfId="205" applyNumberFormat="1" applyFont="1" applyFill="1"/>
    <xf numFmtId="166" fontId="1" fillId="68" borderId="0" xfId="205" applyNumberFormat="1" applyFont="1" applyFill="1"/>
    <xf numFmtId="166" fontId="1" fillId="69" borderId="0" xfId="205" applyNumberFormat="1" applyFont="1" applyFill="1"/>
    <xf numFmtId="166" fontId="1" fillId="70" borderId="0" xfId="205" applyNumberFormat="1" applyFont="1" applyFill="1"/>
    <xf numFmtId="166" fontId="1" fillId="71" borderId="0" xfId="205" applyNumberFormat="1" applyFont="1" applyFill="1"/>
    <xf numFmtId="0" fontId="49" fillId="2" borderId="0" xfId="207" applyFont="1" applyAlignment="1">
      <alignment vertical="center"/>
    </xf>
    <xf numFmtId="0" fontId="11" fillId="0" borderId="0" xfId="271" applyAlignment="1">
      <alignment vertical="center"/>
    </xf>
    <xf numFmtId="167" fontId="11" fillId="40" borderId="0" xfId="271" applyNumberFormat="1" applyFill="1"/>
    <xf numFmtId="9" fontId="1" fillId="40" borderId="0" xfId="283" applyFont="1" applyFill="1"/>
    <xf numFmtId="166" fontId="1" fillId="0" borderId="30" xfId="205" applyNumberFormat="1" applyFont="1" applyBorder="1"/>
    <xf numFmtId="0" fontId="0" fillId="0" borderId="30" xfId="0" applyBorder="1"/>
    <xf numFmtId="167" fontId="11" fillId="40" borderId="30" xfId="271" applyNumberFormat="1" applyFill="1" applyBorder="1"/>
    <xf numFmtId="166" fontId="1" fillId="40" borderId="30" xfId="205" applyNumberFormat="1" applyFont="1" applyFill="1" applyBorder="1"/>
    <xf numFmtId="9" fontId="1" fillId="40" borderId="30" xfId="283" applyFont="1" applyFill="1" applyBorder="1"/>
    <xf numFmtId="0" fontId="11" fillId="0" borderId="40" xfId="271" applyBorder="1"/>
    <xf numFmtId="166" fontId="134" fillId="51" borderId="161" xfId="208" applyNumberFormat="1" applyFont="1" applyBorder="1"/>
    <xf numFmtId="166" fontId="1" fillId="0" borderId="34" xfId="205" applyNumberFormat="1" applyFont="1" applyBorder="1"/>
    <xf numFmtId="167" fontId="11" fillId="0" borderId="32" xfId="211" applyNumberFormat="1" applyBorder="1"/>
    <xf numFmtId="166" fontId="11" fillId="0" borderId="34" xfId="205" applyNumberFormat="1" applyFont="1" applyBorder="1"/>
    <xf numFmtId="167" fontId="11" fillId="0" borderId="34" xfId="211" applyNumberFormat="1" applyBorder="1"/>
    <xf numFmtId="9" fontId="1" fillId="0" borderId="33" xfId="283" applyFont="1" applyBorder="1"/>
    <xf numFmtId="0" fontId="11" fillId="0" borderId="34" xfId="271" applyBorder="1"/>
    <xf numFmtId="0" fontId="134" fillId="51" borderId="141" xfId="208" applyFont="1" applyAlignment="1">
      <alignment horizontal="center" vertical="center" wrapText="1"/>
    </xf>
    <xf numFmtId="0" fontId="115" fillId="33" borderId="5" xfId="123" applyFont="1" applyFill="1" applyBorder="1"/>
    <xf numFmtId="0" fontId="99" fillId="33" borderId="6" xfId="123" applyFont="1" applyFill="1" applyBorder="1"/>
    <xf numFmtId="0" fontId="99" fillId="33" borderId="0" xfId="123" applyFont="1" applyFill="1" applyBorder="1"/>
    <xf numFmtId="0" fontId="51" fillId="33" borderId="13" xfId="123" applyFont="1" applyFill="1" applyBorder="1"/>
    <xf numFmtId="0" fontId="163" fillId="33" borderId="9" xfId="123" applyFont="1" applyFill="1" applyBorder="1"/>
    <xf numFmtId="0" fontId="51" fillId="33" borderId="10" xfId="123" applyFont="1" applyFill="1" applyBorder="1"/>
    <xf numFmtId="0" fontId="164" fillId="68" borderId="0" xfId="277" applyFont="1" applyFill="1"/>
    <xf numFmtId="0" fontId="164" fillId="72" borderId="0" xfId="277" applyFont="1" applyFill="1"/>
    <xf numFmtId="0" fontId="164" fillId="73" borderId="0" xfId="277" applyFont="1" applyFill="1"/>
    <xf numFmtId="0" fontId="164" fillId="62" borderId="0" xfId="277" applyFont="1" applyFill="1"/>
    <xf numFmtId="0" fontId="164" fillId="74" borderId="0" xfId="277" applyFont="1" applyFill="1"/>
    <xf numFmtId="0" fontId="51" fillId="0" borderId="0" xfId="123" applyFont="1"/>
    <xf numFmtId="14" fontId="51" fillId="0" borderId="0" xfId="123" applyNumberFormat="1" applyFont="1"/>
    <xf numFmtId="0" fontId="51" fillId="49" borderId="0" xfId="123" applyFont="1" applyFill="1"/>
    <xf numFmtId="0" fontId="51" fillId="32" borderId="0" xfId="123" applyFont="1" applyFill="1"/>
    <xf numFmtId="174" fontId="19" fillId="0" borderId="0" xfId="123" applyNumberFormat="1"/>
    <xf numFmtId="0" fontId="19" fillId="49" borderId="0" xfId="123" applyFill="1"/>
    <xf numFmtId="0" fontId="19" fillId="32" borderId="0" xfId="123" applyFill="1"/>
    <xf numFmtId="0" fontId="19" fillId="0" borderId="0" xfId="123" applyFill="1"/>
    <xf numFmtId="0" fontId="6" fillId="0" borderId="0" xfId="123" applyFont="1" applyFill="1" applyBorder="1"/>
    <xf numFmtId="0" fontId="49" fillId="0" borderId="0" xfId="123" applyFont="1" applyFill="1" applyBorder="1"/>
    <xf numFmtId="0" fontId="51" fillId="0" borderId="0" xfId="300" applyFont="1" applyFill="1"/>
    <xf numFmtId="0" fontId="19" fillId="0" borderId="0" xfId="300" applyFill="1"/>
    <xf numFmtId="0" fontId="165" fillId="0" borderId="0" xfId="300" applyFont="1" applyFill="1"/>
    <xf numFmtId="0" fontId="90" fillId="0" borderId="0" xfId="300" applyFont="1" applyFill="1"/>
    <xf numFmtId="0" fontId="166" fillId="0" borderId="0" xfId="123" applyFont="1" applyFill="1" applyBorder="1"/>
    <xf numFmtId="0" fontId="19" fillId="0" borderId="48" xfId="300" applyFill="1" applyBorder="1"/>
    <xf numFmtId="0" fontId="19" fillId="0" borderId="56" xfId="300" applyFill="1" applyBorder="1"/>
    <xf numFmtId="0" fontId="19" fillId="0" borderId="45" xfId="300" applyFill="1" applyBorder="1"/>
    <xf numFmtId="0" fontId="19" fillId="0" borderId="47" xfId="300" applyFill="1" applyBorder="1"/>
    <xf numFmtId="0" fontId="19" fillId="0" borderId="0" xfId="300" applyFill="1" applyBorder="1" applyAlignment="1">
      <alignment horizontal="right"/>
    </xf>
    <xf numFmtId="0" fontId="19" fillId="0" borderId="0" xfId="300" applyFill="1" applyBorder="1"/>
    <xf numFmtId="0" fontId="19" fillId="0" borderId="28" xfId="300" applyFill="1" applyBorder="1"/>
    <xf numFmtId="14" fontId="51" fillId="0" borderId="0" xfId="123" applyNumberFormat="1" applyFont="1" applyFill="1"/>
    <xf numFmtId="14" fontId="19" fillId="0" borderId="0" xfId="123" applyNumberFormat="1" applyFont="1" applyFill="1"/>
    <xf numFmtId="0" fontId="98" fillId="0" borderId="28" xfId="300" applyFont="1" applyFill="1" applyBorder="1" applyAlignment="1">
      <alignment horizontal="center"/>
    </xf>
    <xf numFmtId="174" fontId="19" fillId="0" borderId="0" xfId="300" applyNumberFormat="1" applyFill="1" applyBorder="1"/>
    <xf numFmtId="174" fontId="19" fillId="0" borderId="28" xfId="300" applyNumberFormat="1" applyFill="1" applyBorder="1" applyAlignment="1">
      <alignment horizontal="center"/>
    </xf>
    <xf numFmtId="0" fontId="19" fillId="0" borderId="28" xfId="300" applyFill="1" applyBorder="1" applyAlignment="1">
      <alignment horizontal="center"/>
    </xf>
    <xf numFmtId="0" fontId="51" fillId="0" borderId="0" xfId="123" applyFont="1" applyFill="1"/>
    <xf numFmtId="174" fontId="19" fillId="0" borderId="0" xfId="123" applyNumberFormat="1" applyFill="1"/>
    <xf numFmtId="0" fontId="51" fillId="0" borderId="0" xfId="300" applyFont="1" applyFill="1" applyBorder="1" applyAlignment="1">
      <alignment horizontal="right"/>
    </xf>
    <xf numFmtId="10" fontId="51" fillId="32" borderId="28" xfId="178" applyNumberFormat="1" applyFont="1" applyFill="1" applyBorder="1" applyAlignment="1">
      <alignment horizontal="center"/>
    </xf>
    <xf numFmtId="0" fontId="19" fillId="0" borderId="41" xfId="300" applyFill="1" applyBorder="1"/>
    <xf numFmtId="0" fontId="19" fillId="0" borderId="30" xfId="300" applyFill="1" applyBorder="1"/>
    <xf numFmtId="0" fontId="19" fillId="0" borderId="49" xfId="300" applyFill="1" applyBorder="1"/>
  </cellXfs>
  <cellStyles count="30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" xfId="2" builtinId="27"/>
    <cellStyle name="Bad 2" xfId="29"/>
    <cellStyle name="Bad 3" xfId="30"/>
    <cellStyle name="Body: normal cell" xfId="31"/>
    <cellStyle name="Calculation 2" xfId="32"/>
    <cellStyle name="Calculation 2 2" xfId="209"/>
    <cellStyle name="Calculation 2 3" xfId="210"/>
    <cellStyle name="Check Cell" xfId="208" builtinId="23"/>
    <cellStyle name="Check Cell 2" xfId="33"/>
    <cellStyle name="Comma" xfId="1" builtinId="3"/>
    <cellStyle name="Comma [0] 2" xfId="34"/>
    <cellStyle name="Comma 10" xfId="35"/>
    <cellStyle name="Comma 11" xfId="36"/>
    <cellStyle name="Comma 2" xfId="37"/>
    <cellStyle name="Comma 2 2" xfId="38"/>
    <cellStyle name="Comma 2 2 2" xfId="211"/>
    <cellStyle name="Comma 2 3" xfId="39"/>
    <cellStyle name="Comma 3" xfId="40"/>
    <cellStyle name="Comma 3 2" xfId="41"/>
    <cellStyle name="Comma 3 3" xfId="42"/>
    <cellStyle name="Comma 3 4" xfId="212"/>
    <cellStyle name="Comma 4" xfId="43"/>
    <cellStyle name="Comma 4 2" xfId="44"/>
    <cellStyle name="Comma 5" xfId="45"/>
    <cellStyle name="Comma 5 2" xfId="46"/>
    <cellStyle name="Comma 5 3" xfId="213"/>
    <cellStyle name="Comma 6" xfId="47"/>
    <cellStyle name="Comma 6 2" xfId="48"/>
    <cellStyle name="Comma 7" xfId="49"/>
    <cellStyle name="Comma 7 2" xfId="50"/>
    <cellStyle name="Comma 8" xfId="51"/>
    <cellStyle name="Comma 9" xfId="52"/>
    <cellStyle name="Currency" xfId="205" builtinId="4"/>
    <cellStyle name="Currency [0] 2" xfId="53"/>
    <cellStyle name="Currency 10" xfId="214"/>
    <cellStyle name="Currency 11" xfId="215"/>
    <cellStyle name="Currency 12" xfId="216"/>
    <cellStyle name="Currency 13" xfId="217"/>
    <cellStyle name="Currency 14" xfId="218"/>
    <cellStyle name="Currency 15" xfId="219"/>
    <cellStyle name="Currency 16" xfId="220"/>
    <cellStyle name="Currency 17" xfId="221"/>
    <cellStyle name="Currency 18" xfId="222"/>
    <cellStyle name="Currency 19" xfId="223"/>
    <cellStyle name="Currency 2" xfId="54"/>
    <cellStyle name="Currency 2 2" xfId="55"/>
    <cellStyle name="Currency 2 2 2" xfId="56"/>
    <cellStyle name="Currency 2 2 2 2" xfId="57"/>
    <cellStyle name="Currency 2 2 2 3" xfId="58"/>
    <cellStyle name="Currency 2 3" xfId="59"/>
    <cellStyle name="Currency 2 4" xfId="60"/>
    <cellStyle name="Currency 2 4 2" xfId="224"/>
    <cellStyle name="Currency 2 5" xfId="225"/>
    <cellStyle name="Currency 20" xfId="226"/>
    <cellStyle name="Currency 21" xfId="227"/>
    <cellStyle name="Currency 22" xfId="228"/>
    <cellStyle name="Currency 23" xfId="229"/>
    <cellStyle name="Currency 24" xfId="230"/>
    <cellStyle name="Currency 25" xfId="231"/>
    <cellStyle name="Currency 26" xfId="232"/>
    <cellStyle name="Currency 27" xfId="233"/>
    <cellStyle name="Currency 28" xfId="234"/>
    <cellStyle name="Currency 29" xfId="235"/>
    <cellStyle name="Currency 3" xfId="61"/>
    <cellStyle name="Currency 3 2" xfId="62"/>
    <cellStyle name="Currency 3 3" xfId="63"/>
    <cellStyle name="Currency 3 4" xfId="64"/>
    <cellStyle name="Currency 3 5" xfId="65"/>
    <cellStyle name="Currency 30" xfId="236"/>
    <cellStyle name="Currency 31" xfId="237"/>
    <cellStyle name="Currency 32" xfId="238"/>
    <cellStyle name="Currency 33" xfId="239"/>
    <cellStyle name="Currency 34" xfId="240"/>
    <cellStyle name="Currency 35" xfId="241"/>
    <cellStyle name="Currency 36" xfId="242"/>
    <cellStyle name="Currency 37" xfId="243"/>
    <cellStyle name="Currency 38" xfId="244"/>
    <cellStyle name="Currency 39" xfId="245"/>
    <cellStyle name="Currency 4" xfId="66"/>
    <cellStyle name="Currency 4 2" xfId="67"/>
    <cellStyle name="Currency 4 2 2" xfId="4"/>
    <cellStyle name="Currency 4 2 2 2" xfId="68"/>
    <cellStyle name="Currency 4 2 2 3" xfId="246"/>
    <cellStyle name="Currency 4 2 3" xfId="69"/>
    <cellStyle name="Currency 4 3" xfId="70"/>
    <cellStyle name="Currency 4 3 2" xfId="71"/>
    <cellStyle name="Currency 4 3 3" xfId="72"/>
    <cellStyle name="Currency 4 4" xfId="73"/>
    <cellStyle name="Currency 4 5" xfId="74"/>
    <cellStyle name="Currency 40" xfId="247"/>
    <cellStyle name="Currency 41" xfId="248"/>
    <cellStyle name="Currency 42" xfId="249"/>
    <cellStyle name="Currency 43" xfId="250"/>
    <cellStyle name="Currency 44" xfId="251"/>
    <cellStyle name="Currency 45" xfId="252"/>
    <cellStyle name="Currency 46" xfId="253"/>
    <cellStyle name="Currency 5" xfId="75"/>
    <cellStyle name="Currency 5 2" xfId="76"/>
    <cellStyle name="Currency 5 2 2" xfId="77"/>
    <cellStyle name="Currency 5 3" xfId="78"/>
    <cellStyle name="Currency 5 3 2" xfId="79"/>
    <cellStyle name="Currency 5 3 3" xfId="80"/>
    <cellStyle name="Currency 5 4" xfId="81"/>
    <cellStyle name="Currency 5 5" xfId="82"/>
    <cellStyle name="Currency 5 6" xfId="83"/>
    <cellStyle name="Currency 6" xfId="84"/>
    <cellStyle name="Currency 6 2" xfId="85"/>
    <cellStyle name="Currency 6 3" xfId="254"/>
    <cellStyle name="Currency 7" xfId="86"/>
    <cellStyle name="Currency 7 2" xfId="255"/>
    <cellStyle name="Currency 7 3" xfId="256"/>
    <cellStyle name="Currency 8" xfId="87"/>
    <cellStyle name="Currency 8 2" xfId="88"/>
    <cellStyle name="Currency 9" xfId="89"/>
    <cellStyle name="Explanatory Text 2" xfId="90"/>
    <cellStyle name="Explanatory Text 2 2" xfId="257"/>
    <cellStyle name="Explanatory Text 2 3" xfId="258"/>
    <cellStyle name="Font: Calibri, 9pt regular" xfId="91"/>
    <cellStyle name="Footnotes: top row" xfId="92"/>
    <cellStyle name="Good" xfId="207" builtinId="26"/>
    <cellStyle name="Good 2" xfId="93"/>
    <cellStyle name="Header: bottom row" xfId="94"/>
    <cellStyle name="Heading 1 2" xfId="95"/>
    <cellStyle name="Heading 1 2 2" xfId="259"/>
    <cellStyle name="Heading 1 2 3" xfId="260"/>
    <cellStyle name="Heading 2 2" xfId="96"/>
    <cellStyle name="Heading 2 2 2" xfId="261"/>
    <cellStyle name="Heading 2 2 3" xfId="262"/>
    <cellStyle name="Heading 3 2" xfId="97"/>
    <cellStyle name="Heading 3 2 2" xfId="263"/>
    <cellStyle name="Heading 3 2 3" xfId="264"/>
    <cellStyle name="Heading 4 2" xfId="98"/>
    <cellStyle name="Heading 4 2 2" xfId="265"/>
    <cellStyle name="Heading 4 2 3" xfId="266"/>
    <cellStyle name="Hyperlink 2" xfId="99"/>
    <cellStyle name="Input" xfId="3" builtinId="20"/>
    <cellStyle name="Input 2" xfId="100"/>
    <cellStyle name="Input 2 2" xfId="267"/>
    <cellStyle name="Input 2 3" xfId="268"/>
    <cellStyle name="Linked Cell 2" xfId="101"/>
    <cellStyle name="Linked Cell 2 2" xfId="269"/>
    <cellStyle name="Linked Cell 2 3" xfId="270"/>
    <cellStyle name="Neutral 2" xfId="102"/>
    <cellStyle name="Normal" xfId="0" builtinId="0"/>
    <cellStyle name="Normal 10" xfId="103"/>
    <cellStyle name="Normal 10 2" xfId="104"/>
    <cellStyle name="Normal 10 3" xfId="105"/>
    <cellStyle name="Normal 10 3 2" xfId="106"/>
    <cellStyle name="Normal 11" xfId="107"/>
    <cellStyle name="Normal 11 2" xfId="108"/>
    <cellStyle name="Normal 11 2 2" xfId="109"/>
    <cellStyle name="Normal 12" xfId="110"/>
    <cellStyle name="Normal 13" xfId="111"/>
    <cellStyle name="Normal 13 2" xfId="112"/>
    <cellStyle name="Normal 14" xfId="113"/>
    <cellStyle name="Normal 14 2" xfId="114"/>
    <cellStyle name="Normal 15" xfId="115"/>
    <cellStyle name="Normal 16" xfId="116"/>
    <cellStyle name="Normal 17" xfId="117"/>
    <cellStyle name="Normal 17 2" xfId="118"/>
    <cellStyle name="Normal 18" xfId="119"/>
    <cellStyle name="Normal 19" xfId="120"/>
    <cellStyle name="Normal 2" xfId="121"/>
    <cellStyle name="Normal 2 2" xfId="122"/>
    <cellStyle name="Normal 2 2 2" xfId="123"/>
    <cellStyle name="Normal 2 2 3" xfId="124"/>
    <cellStyle name="Normal 2 3" xfId="125"/>
    <cellStyle name="Normal 2 3 2" xfId="271"/>
    <cellStyle name="Normal 2 4" xfId="126"/>
    <cellStyle name="Normal 2 4 2" xfId="127"/>
    <cellStyle name="Normal 2 4 3" xfId="128"/>
    <cellStyle name="Normal 2 5" xfId="129"/>
    <cellStyle name="Normal 2 5 2" xfId="130"/>
    <cellStyle name="Normal 20" xfId="131"/>
    <cellStyle name="Normal 21" xfId="132"/>
    <cellStyle name="Normal 3" xfId="133"/>
    <cellStyle name="Normal 3 2" xfId="134"/>
    <cellStyle name="Normal 3 2 2" xfId="135"/>
    <cellStyle name="Normal 3 2 3" xfId="272"/>
    <cellStyle name="Normal 3 2 4" xfId="273"/>
    <cellStyle name="Normal 3 3" xfId="136"/>
    <cellStyle name="Normal 3 3 2" xfId="137"/>
    <cellStyle name="Normal 3 4" xfId="138"/>
    <cellStyle name="Normal 3 4 2" xfId="139"/>
    <cellStyle name="Normal 3 5" xfId="140"/>
    <cellStyle name="Normal 3 9" xfId="141"/>
    <cellStyle name="Normal 4" xfId="142"/>
    <cellStyle name="Normal 4 2" xfId="143"/>
    <cellStyle name="Normal 4 2 2" xfId="144"/>
    <cellStyle name="Normal 4 2 2 2" xfId="145"/>
    <cellStyle name="Normal 4 2 2 3" xfId="300"/>
    <cellStyle name="Normal 4 2 3" xfId="146"/>
    <cellStyle name="Normal 4 2 3 2" xfId="147"/>
    <cellStyle name="Normal 4 3" xfId="148"/>
    <cellStyle name="Normal 4 3 2" xfId="149"/>
    <cellStyle name="Normal 4 3 3" xfId="274"/>
    <cellStyle name="Normal 4 4" xfId="275"/>
    <cellStyle name="Normal 5" xfId="150"/>
    <cellStyle name="Normal 5 2" xfId="151"/>
    <cellStyle name="Normal 6" xfId="152"/>
    <cellStyle name="Normal 6 2" xfId="153"/>
    <cellStyle name="Normal 6 2 2" xfId="154"/>
    <cellStyle name="Normal 6 2 2 2" xfId="276"/>
    <cellStyle name="Normal 6 2 3" xfId="277"/>
    <cellStyle name="Normal 6 2 4" xfId="278"/>
    <cellStyle name="Normal 6 3" xfId="155"/>
    <cellStyle name="Normal 6 4" xfId="279"/>
    <cellStyle name="Normal 7" xfId="156"/>
    <cellStyle name="Normal 7 2" xfId="157"/>
    <cellStyle name="Normal 7 3" xfId="158"/>
    <cellStyle name="Normal 8" xfId="159"/>
    <cellStyle name="Normal 8 2" xfId="160"/>
    <cellStyle name="Normal 8 3" xfId="161"/>
    <cellStyle name="Normal 8 4" xfId="162"/>
    <cellStyle name="Normal 8 5" xfId="163"/>
    <cellStyle name="Normal 9" xfId="164"/>
    <cellStyle name="Normal 9 2" xfId="165"/>
    <cellStyle name="Normal 9 2 2" xfId="166"/>
    <cellStyle name="Normal 9 2 3" xfId="167"/>
    <cellStyle name="Normal 9 3" xfId="168"/>
    <cellStyle name="Note 2" xfId="169"/>
    <cellStyle name="Note 2 2" xfId="170"/>
    <cellStyle name="Note 2 3" xfId="280"/>
    <cellStyle name="Output 2" xfId="171"/>
    <cellStyle name="Output 2 2" xfId="281"/>
    <cellStyle name="Output 2 3" xfId="282"/>
    <cellStyle name="Parent row" xfId="172"/>
    <cellStyle name="Percent" xfId="206" builtinId="5"/>
    <cellStyle name="Percent 10" xfId="173"/>
    <cellStyle name="Percent 10 2" xfId="174"/>
    <cellStyle name="Percent 11" xfId="175"/>
    <cellStyle name="Percent 2" xfId="176"/>
    <cellStyle name="Percent 2 2" xfId="177"/>
    <cellStyle name="Percent 2 2 2" xfId="178"/>
    <cellStyle name="Percent 2 2 3" xfId="283"/>
    <cellStyle name="Percent 2 3" xfId="179"/>
    <cellStyle name="Percent 2 4" xfId="180"/>
    <cellStyle name="Percent 2 5" xfId="181"/>
    <cellStyle name="Percent 3" xfId="182"/>
    <cellStyle name="Percent 3 2" xfId="183"/>
    <cellStyle name="Percent 3 2 2" xfId="184"/>
    <cellStyle name="Percent 3 2 3" xfId="284"/>
    <cellStyle name="Percent 3 3" xfId="185"/>
    <cellStyle name="Percent 4" xfId="186"/>
    <cellStyle name="Percent 4 2" xfId="187"/>
    <cellStyle name="Percent 4 2 2" xfId="285"/>
    <cellStyle name="Percent 4 2 3" xfId="286"/>
    <cellStyle name="Percent 4 3" xfId="188"/>
    <cellStyle name="Percent 5" xfId="189"/>
    <cellStyle name="Percent 5 2" xfId="190"/>
    <cellStyle name="Percent 5 2 2" xfId="191"/>
    <cellStyle name="Percent 5 3" xfId="192"/>
    <cellStyle name="Percent 5 4" xfId="287"/>
    <cellStyle name="Percent 5 5" xfId="288"/>
    <cellStyle name="Percent 6" xfId="193"/>
    <cellStyle name="Percent 6 2" xfId="194"/>
    <cellStyle name="Percent 6 3" xfId="195"/>
    <cellStyle name="Percent 6 4" xfId="289"/>
    <cellStyle name="Percent 7" xfId="196"/>
    <cellStyle name="Percent 7 2" xfId="197"/>
    <cellStyle name="Percent 7 3" xfId="290"/>
    <cellStyle name="Percent 7 4" xfId="291"/>
    <cellStyle name="Percent 8" xfId="198"/>
    <cellStyle name="Percent 8 2" xfId="292"/>
    <cellStyle name="Percent 8 3" xfId="293"/>
    <cellStyle name="Percent 9" xfId="199"/>
    <cellStyle name="Percent 9 2" xfId="294"/>
    <cellStyle name="Table title" xfId="200"/>
    <cellStyle name="Title 2" xfId="201"/>
    <cellStyle name="Title 2 2" xfId="202"/>
    <cellStyle name="Title 2 3" xfId="295"/>
    <cellStyle name="Total 2" xfId="203"/>
    <cellStyle name="Total 2 2" xfId="296"/>
    <cellStyle name="Total 2 3" xfId="297"/>
    <cellStyle name="Warning Text 2" xfId="204"/>
    <cellStyle name="Warning Text 2 2" xfId="298"/>
    <cellStyle name="Warning Text 2 3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504190</xdr:colOff>
      <xdr:row>22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65671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504190</xdr:colOff>
      <xdr:row>22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5679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496570</xdr:colOff>
      <xdr:row>22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91592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504190</xdr:colOff>
      <xdr:row>22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5679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496570</xdr:colOff>
      <xdr:row>22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91592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496570</xdr:colOff>
      <xdr:row>22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91592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504190</xdr:colOff>
      <xdr:row>22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19036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504190</xdr:colOff>
      <xdr:row>22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19036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504190</xdr:colOff>
      <xdr:row>22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19036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504190</xdr:colOff>
      <xdr:row>22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79044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504190</xdr:colOff>
      <xdr:row>22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79044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504190</xdr:colOff>
      <xdr:row>22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79044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504190</xdr:colOff>
      <xdr:row>22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79044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504190</xdr:colOff>
      <xdr:row>22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79044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504190</xdr:colOff>
      <xdr:row>22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79044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504190</xdr:colOff>
      <xdr:row>22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59029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504190</xdr:colOff>
      <xdr:row>22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59029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504190</xdr:colOff>
      <xdr:row>22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590290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488950</xdr:colOff>
      <xdr:row>19</xdr:row>
      <xdr:rowOff>0</xdr:rowOff>
    </xdr:from>
    <xdr:ext cx="184731" cy="274009"/>
    <xdr:sp macro="" textlink="">
      <xdr:nvSpPr>
        <xdr:cNvPr id="2" name="TextBox 1"/>
        <xdr:cNvSpPr txBox="1"/>
      </xdr:nvSpPr>
      <xdr:spPr>
        <a:xfrm>
          <a:off x="27749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488950</xdr:colOff>
      <xdr:row>19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9560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488950</xdr:colOff>
      <xdr:row>19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508000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488950</xdr:colOff>
      <xdr:row>19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9560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488950</xdr:colOff>
      <xdr:row>19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508000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488950</xdr:colOff>
      <xdr:row>19</xdr:row>
      <xdr:rowOff>0</xdr:rowOff>
    </xdr:from>
    <xdr:ext cx="184731" cy="274009"/>
    <xdr:sp macro="" textlink="">
      <xdr:nvSpPr>
        <xdr:cNvPr id="7" name="TextBox 6"/>
        <xdr:cNvSpPr txBox="1"/>
      </xdr:nvSpPr>
      <xdr:spPr>
        <a:xfrm>
          <a:off x="508000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1" name="TextBox 10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3" name="TextBox 12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4" name="TextBox 13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5" name="TextBox 14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6" name="TextBox 15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5619750" y="49720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0" name="TextBox 19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2" name="TextBox 21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3" name="TextBox 22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4" name="TextBox 23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5" name="TextBox 24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7" name="TextBox 26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8" name="TextBox 27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29" name="TextBox 28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30" name="TextBox 29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4731" cy="274009"/>
    <xdr:sp macro="" textlink="">
      <xdr:nvSpPr>
        <xdr:cNvPr id="31" name="TextBox 30"/>
        <xdr:cNvSpPr txBox="1"/>
      </xdr:nvSpPr>
      <xdr:spPr>
        <a:xfrm>
          <a:off x="5619750" y="52292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12</xdr:row>
      <xdr:rowOff>160020</xdr:rowOff>
    </xdr:from>
    <xdr:to>
      <xdr:col>1</xdr:col>
      <xdr:colOff>358140</xdr:colOff>
      <xdr:row>13</xdr:row>
      <xdr:rowOff>175260</xdr:rowOff>
    </xdr:to>
    <xdr:sp macro="" textlink="">
      <xdr:nvSpPr>
        <xdr:cNvPr id="2" name="5-Point Star 1"/>
        <xdr:cNvSpPr/>
      </xdr:nvSpPr>
      <xdr:spPr>
        <a:xfrm>
          <a:off x="716280" y="2960370"/>
          <a:ext cx="251460" cy="21526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@GMT-2019.08.12-13.00.13\Administrative%20Services-POS%20Policy%20Office\Rate%20Setting\Rate%20Projects\Placement%20and%20Support%20Services-CMR%20411\Rate%20Review%202020\1.%20Strategy%20Materials\DCF\July%202020%20DCF%20Models%20&amp;%20char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IFC%20AMSS%20Fam%20Res%20WIP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Administrative%20Services-POS%20Policy%20Office\Rate%20Setting\Rate%20Projects\Placement%20and%20Support%20Services\Rate%20Review%202018\1.%20Strategy%20Materials\DCF\DCF%202018%20Fiscal%20Impac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Administrative%20Services-POS%20Policy%20Office\Rate%20Setting\Rate%20Projects\Placement%20and%20Support%20Services\Archive\Copy%20of%20AMSS%20and%20Support%20Tracking%20Sheet%20619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Admin%20&amp;%20Staff/Kara/Workforce%20Initiatives/November%202019/Rate%20Review%20AMSS%20%202020%20model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DCF.DYS/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hared%20Living%20FOI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E\X\Data%20&amp;%20Reporting%20Tools\STARR%20Utilization\STARR%20Utilization%20Tool%20FY10%20Jun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Administrative%20Services-POS%20Policy%20Office\Rate%20Setting\Rate%20Projects\Developmental%20and%20Support%20Services-%20CMR%20424\FY21\FY21%20Workbook%20101%20CMR%204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@GMT-2019.08.12-13.00.13\Administrative%20Services-POS%20Policy%20Office\Rate%20Setting\Rate%20Projects\Placement%20and%20Support%20Services-CMR%20411\Rate%20Review%202020\1.%20Strategy%20Materials\DCF\DCF%202018%20Fiscal%20Impac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Administrative%20Services-POS%20Policy%20Office\Rate%20Setting\Rate%20Projects\Placement%20and%20Support%20Services\Archive\Copy%20of%20PAS%20Youth%20Backup%20Documentation%200408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F - Fall 2017"/>
      <sheetName val="Fiscal Impact (12.7.17)"/>
      <sheetName val="Chart IFC &amp; Spec and Fam Res"/>
      <sheetName val="Chart  AMSS &amp; Support Services"/>
      <sheetName val="Sub Proc PA&amp;S Youth Models"/>
      <sheetName val="AMSS &amp; Support Model Budget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6">
          <cell r="N26">
            <v>60.271106552504307</v>
          </cell>
          <cell r="T26">
            <v>106.7626303267715</v>
          </cell>
          <cell r="DF26">
            <v>154.25040711644451</v>
          </cell>
        </row>
        <row r="29">
          <cell r="AH29">
            <v>74.022939924520912</v>
          </cell>
        </row>
        <row r="31">
          <cell r="L31">
            <v>7.7873730221669204</v>
          </cell>
          <cell r="BW31">
            <v>200.74893643522424</v>
          </cell>
          <cell r="CC31">
            <v>141.2756111475081</v>
          </cell>
          <cell r="CQ31">
            <v>79.549120126720481</v>
          </cell>
        </row>
        <row r="32">
          <cell r="S32">
            <v>91.352599624000007</v>
          </cell>
          <cell r="BB32">
            <v>120.65817667620342</v>
          </cell>
          <cell r="BQ32">
            <v>117.72727432220438</v>
          </cell>
        </row>
        <row r="35">
          <cell r="AV35">
            <v>73.209662043449114</v>
          </cell>
        </row>
        <row r="37">
          <cell r="AF37">
            <v>80.696997624000005</v>
          </cell>
        </row>
        <row r="38">
          <cell r="L38">
            <v>59.385793624000002</v>
          </cell>
          <cell r="CO38">
            <v>67.910275224000003</v>
          </cell>
        </row>
        <row r="39">
          <cell r="AZ39">
            <v>112.66380362400001</v>
          </cell>
          <cell r="BU39">
            <v>108.28478910345206</v>
          </cell>
          <cell r="CA39">
            <v>60.749710680000007</v>
          </cell>
        </row>
        <row r="40">
          <cell r="R40">
            <v>68.066051999999999</v>
          </cell>
        </row>
        <row r="41">
          <cell r="AT41">
            <v>78.565877223999991</v>
          </cell>
          <cell r="BO41">
            <v>108.28478910345206</v>
          </cell>
        </row>
        <row r="43">
          <cell r="R43">
            <v>84.545793623999998</v>
          </cell>
        </row>
        <row r="45">
          <cell r="L45">
            <v>70.041395623999989</v>
          </cell>
        </row>
        <row r="55">
          <cell r="R55">
            <v>84.545793623999998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Fiscal Impact"/>
      <sheetName val="Chart IFC &amp; Spec and Fam Res"/>
      <sheetName val="IFC All Models"/>
      <sheetName val="IFC-Inten &amp; Enhanced FC Current"/>
      <sheetName val="Chart  AMSS &amp; Support Services "/>
      <sheetName val="IFC-Inte &amp; Enhanced FC Rebased"/>
      <sheetName val="IFC- Child home rehab Current"/>
      <sheetName val="IFC- Child home rehab Rebased"/>
      <sheetName val="IFC-Shelter-Exploited Yth Curr"/>
      <sheetName val="IFC-Shelter-Exploited Yth Rebas"/>
      <sheetName val="IFC- Acute-Adult Srvs -Current"/>
      <sheetName val="IFC- Acute-Adult Srvs -Rebased"/>
      <sheetName val="IFC- Transition to Adult Curren"/>
      <sheetName val="IFC- Transition to Adult Rebase"/>
      <sheetName val="IFC- Family Residential Current"/>
      <sheetName val="IFC- Family Residential "/>
      <sheetName val="IFC- Family Resi Current"/>
      <sheetName val="AMSS &amp; Support Model Current"/>
      <sheetName val="AMSS &amp; Support Model Rebased"/>
    </sheetNames>
    <sheetDataSet>
      <sheetData sheetId="0" refreshError="1">
        <row r="4">
          <cell r="C4">
            <v>32198.400000000001</v>
          </cell>
        </row>
        <row r="6">
          <cell r="C6">
            <v>41516.800000000003</v>
          </cell>
        </row>
        <row r="10">
          <cell r="C10">
            <v>43971.200000000004</v>
          </cell>
        </row>
        <row r="12">
          <cell r="C12">
            <v>52665.599999999999</v>
          </cell>
        </row>
        <row r="14">
          <cell r="C14">
            <v>60923.199999999997</v>
          </cell>
        </row>
        <row r="18">
          <cell r="C18">
            <v>57449.599999999999</v>
          </cell>
        </row>
        <row r="20">
          <cell r="C20">
            <v>86860.800000000003</v>
          </cell>
        </row>
        <row r="30">
          <cell r="C30">
            <v>0.22309999999999999</v>
          </cell>
          <cell r="E30" t="str">
            <v>Benchmarked to FY20 Commonwealth (office of the Comptroller) T&amp;F rate, less terminal leave, retirement and Paid Family Medical Leave tax</v>
          </cell>
        </row>
        <row r="31">
          <cell r="C31">
            <v>3.7000000000000002E-3</v>
          </cell>
        </row>
        <row r="32">
          <cell r="C32">
            <v>1.78E-2</v>
          </cell>
          <cell r="E32" t="str">
            <v>Prospective period FY21 &amp; FY22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E4">
            <v>43971.200000000004</v>
          </cell>
          <cell r="F4" t="str">
            <v>11/1/19: Benchmark to BLS Caseworker: Minimum education = BA or 8 years related experience</v>
          </cell>
        </row>
        <row r="5">
          <cell r="F5" t="str">
            <v>11/1/19: Benchmark to Direct Care III: Minimum education = BA or 5+ years related experience</v>
          </cell>
        </row>
        <row r="6">
          <cell r="E6">
            <v>52665.599999999999</v>
          </cell>
          <cell r="F6" t="str">
            <v>11/1/19: Benchmark to BLS Caseworker: Minimum education = BA or 8 years related experience</v>
          </cell>
        </row>
        <row r="7">
          <cell r="E7">
            <v>32198.400000000001</v>
          </cell>
          <cell r="F7" t="str">
            <v xml:space="preserve">11/1/19: Benchmark to Direct Care : Minimum education = HS Diploma / GED / Associates </v>
          </cell>
        </row>
        <row r="17">
          <cell r="F17" t="str">
            <v>11/1/19 Benchmarked to MA Comptroller FY20</v>
          </cell>
        </row>
        <row r="20">
          <cell r="K20">
            <v>61.037272214048357</v>
          </cell>
        </row>
        <row r="21">
          <cell r="P21">
            <v>108.93430717380325</v>
          </cell>
        </row>
        <row r="26">
          <cell r="K26">
            <v>27.02</v>
          </cell>
        </row>
        <row r="27">
          <cell r="K27">
            <v>7.9286620000000001</v>
          </cell>
        </row>
        <row r="28">
          <cell r="O28">
            <v>94.388182</v>
          </cell>
        </row>
        <row r="34">
          <cell r="K34">
            <v>61.859293999999991</v>
          </cell>
          <cell r="O34">
            <v>69.281645999999995</v>
          </cell>
        </row>
        <row r="37">
          <cell r="O37">
            <v>88.879293999999987</v>
          </cell>
        </row>
        <row r="41">
          <cell r="K41">
            <v>72.709041999999997</v>
          </cell>
        </row>
        <row r="49">
          <cell r="O49">
            <v>87.467141999999996</v>
          </cell>
        </row>
        <row r="54">
          <cell r="O54">
            <v>63.032354000000005</v>
          </cell>
        </row>
      </sheetData>
      <sheetData sheetId="7" refreshError="1"/>
      <sheetData sheetId="8" refreshError="1">
        <row r="4">
          <cell r="F4" t="str">
            <v>11/1/19: Benchmark to BLS Caseworker: Minimum education = BA or 8 years related experience</v>
          </cell>
        </row>
        <row r="5">
          <cell r="F5" t="str">
            <v>11/1/19: Benchmark to Direct Care III: Minimum education = BA or 5+ years related experience</v>
          </cell>
        </row>
        <row r="6">
          <cell r="F6" t="str">
            <v>11/1/19: Benchmark to BLS Caseworker: Minimum education = BA or 8 years related experience</v>
          </cell>
        </row>
        <row r="7">
          <cell r="F7" t="str">
            <v xml:space="preserve">11/1/19: Benchmark to Direct Care : Minimum education = HS Diploma / GED / Associates </v>
          </cell>
        </row>
        <row r="9">
          <cell r="D9">
            <v>86860.800000000003</v>
          </cell>
        </row>
        <row r="19">
          <cell r="L19">
            <v>75.796358551608392</v>
          </cell>
        </row>
        <row r="25">
          <cell r="K25">
            <v>83.548612000000006</v>
          </cell>
        </row>
      </sheetData>
      <sheetData sheetId="9" refreshError="1"/>
      <sheetData sheetId="10" refreshError="1">
        <row r="4">
          <cell r="E4">
            <v>43971.200000000004</v>
          </cell>
          <cell r="F4" t="str">
            <v>11/1/19: Benchmark to BLS Caseworker: Minimum education = BA or 8 years related experience</v>
          </cell>
        </row>
        <row r="6">
          <cell r="E6">
            <v>52665.599999999999</v>
          </cell>
        </row>
        <row r="7">
          <cell r="E7">
            <v>32198.400000000001</v>
          </cell>
        </row>
        <row r="18">
          <cell r="K18">
            <v>75.731502134844675</v>
          </cell>
        </row>
        <row r="19">
          <cell r="P19">
            <v>124.96252423986753</v>
          </cell>
        </row>
        <row r="26">
          <cell r="J26">
            <v>81.380697999999995</v>
          </cell>
          <cell r="O26">
            <v>116.0775</v>
          </cell>
        </row>
      </sheetData>
      <sheetData sheetId="11" refreshError="1"/>
      <sheetData sheetId="12" refreshError="1">
        <row r="6">
          <cell r="E6">
            <v>52665.599999999999</v>
          </cell>
        </row>
        <row r="7">
          <cell r="E7">
            <v>32198.400000000001</v>
          </cell>
        </row>
        <row r="9">
          <cell r="E9">
            <v>43971.200000000004</v>
          </cell>
        </row>
        <row r="18">
          <cell r="U18">
            <v>144.35396375822145</v>
          </cell>
        </row>
        <row r="19">
          <cell r="K19">
            <v>128.11770390815045</v>
          </cell>
        </row>
        <row r="20">
          <cell r="E20">
            <v>0.22309999999999999</v>
          </cell>
          <cell r="P20">
            <v>221.07731849583402</v>
          </cell>
        </row>
        <row r="25">
          <cell r="T25">
            <v>63.243502000000007</v>
          </cell>
        </row>
        <row r="27">
          <cell r="J27">
            <v>111.61953600000001</v>
          </cell>
          <cell r="O27">
            <v>111.61953600000001</v>
          </cell>
        </row>
      </sheetData>
      <sheetData sheetId="13" refreshError="1"/>
      <sheetData sheetId="14" refreshError="1">
        <row r="4">
          <cell r="D4">
            <v>43971.200000000004</v>
          </cell>
        </row>
        <row r="5">
          <cell r="D5">
            <v>41517</v>
          </cell>
        </row>
        <row r="7">
          <cell r="D7">
            <v>32198.400000000001</v>
          </cell>
        </row>
        <row r="21">
          <cell r="J21">
            <v>83.378606599183655</v>
          </cell>
        </row>
        <row r="28">
          <cell r="I28">
            <v>70.530950000000004</v>
          </cell>
        </row>
      </sheetData>
      <sheetData sheetId="15" refreshError="1"/>
      <sheetData sheetId="16" refreshError="1">
        <row r="20">
          <cell r="J20">
            <v>177.68088798413476</v>
          </cell>
        </row>
      </sheetData>
      <sheetData sheetId="17" refreshError="1"/>
      <sheetData sheetId="18" refreshError="1"/>
      <sheetData sheetId="19" refreshError="1">
        <row r="22">
          <cell r="AD22">
            <v>51.51412547873133</v>
          </cell>
        </row>
        <row r="26">
          <cell r="O26">
            <v>65540.366281943556</v>
          </cell>
        </row>
        <row r="28">
          <cell r="T28">
            <v>143108.11861518814</v>
          </cell>
        </row>
        <row r="31">
          <cell r="AN31">
            <v>304.12413126133845</v>
          </cell>
        </row>
        <row r="36">
          <cell r="Y36">
            <v>165155.73784115762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MA"/>
      <sheetName val="Rates for Reg"/>
      <sheetName val="CAF Sp. 2016"/>
      <sheetName val="Fiscal Impact (9.19.17)"/>
      <sheetName val="Fiscal Impact"/>
      <sheetName val="IFC &amp; Specialty and Fam Res"/>
      <sheetName val="AMSS &amp; Support Services"/>
      <sheetName val="Sub Proc Look Up Table "/>
      <sheetName val="Shared Living (2)"/>
      <sheetName val="DC Add On"/>
      <sheetName val="Stipends"/>
      <sheetName val="S.Living Models Rate Review"/>
      <sheetName val="S.Living Original Models"/>
      <sheetName val="Shared Living original"/>
      <sheetName val="Sheet1"/>
    </sheetNames>
    <sheetDataSet>
      <sheetData sheetId="0"/>
      <sheetData sheetId="1"/>
      <sheetData sheetId="2">
        <row r="26">
          <cell r="BD26">
            <v>2.6438643292682744E-2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15 CAF"/>
      <sheetName val="Rates Effective April 1, 2014"/>
      <sheetName val="Support Model Budgets"/>
      <sheetName val="Model drafting"/>
      <sheetName val="UFR SchB (1)"/>
      <sheetName val="UFR SchB (2)"/>
      <sheetName val="UFR SchB (3)"/>
      <sheetName val="UFR SchB (4)"/>
      <sheetName val="UFR FY11 SchB of provider"/>
      <sheetName val="Source CAF 2.07% and 3.93%"/>
    </sheetNames>
    <sheetDataSet>
      <sheetData sheetId="0">
        <row r="24">
          <cell r="BE24">
            <v>3.1690812047274072E-2</v>
          </cell>
        </row>
      </sheetData>
      <sheetData sheetId="1"/>
      <sheetData sheetId="2">
        <row r="31">
          <cell r="AM31">
            <v>16572.397660149334</v>
          </cell>
        </row>
        <row r="33">
          <cell r="AG33">
            <v>47.595980860001433</v>
          </cell>
        </row>
        <row r="37">
          <cell r="O37">
            <v>61289.181468079216</v>
          </cell>
        </row>
        <row r="38">
          <cell r="U38">
            <v>133898.4283257552</v>
          </cell>
          <cell r="AA38">
            <v>142626.72724964569</v>
          </cell>
        </row>
        <row r="39">
          <cell r="AS39">
            <v>284.64072278252075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 AMSS &amp; Support Services "/>
      <sheetName val="AMSS &amp; Support Model Current"/>
      <sheetName val="AMSS &amp; Support Model Rebased"/>
      <sheetName val="Sub Proc PA&amp;S Youth Models WIP"/>
      <sheetName val="S.Living Model Current"/>
      <sheetName val="S.Living Model Rebased"/>
      <sheetName val="Stipends wip"/>
      <sheetName val="Add On Rates Current"/>
      <sheetName val="Add On Rates Rebased"/>
      <sheetName val="Fiscal Impact"/>
      <sheetName val="Fiscal Impact (11.15.17)"/>
      <sheetName val="CAF"/>
      <sheetName val="Sheet1"/>
    </sheetNames>
    <sheetDataSet>
      <sheetData sheetId="0" refreshError="1"/>
      <sheetData sheetId="1">
        <row r="46">
          <cell r="AA46">
            <v>154371.34945195619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C All Models"/>
      <sheetName val="IFC-Inten &amp; Enhanced FC Current"/>
      <sheetName val="IFC-Inte &amp; Enhanced FC Rebased"/>
      <sheetName val="IFC- Child home rehab Current"/>
      <sheetName val="IFC- Child home rehab Rebased"/>
      <sheetName val="IFC-Shelter-Exploited Yth Curr"/>
      <sheetName val="IFC-Shelter-Exploited Yth Rebas"/>
      <sheetName val="IFC- Acute-Adult Srvs -Current"/>
      <sheetName val="Chart IFC &amp; Spec and Fam Res"/>
      <sheetName val="IFC- Acute-Adult Srvs -Rebased"/>
      <sheetName val="IFC- Transition to Adult Curren"/>
      <sheetName val="IFC- Transition to Adult Rebase"/>
      <sheetName val="IFC- Family Residential Current"/>
      <sheetName val="IFC- Family Residential Rebased"/>
      <sheetName val="IFC- Family Resi Current"/>
      <sheetName val="IFC- Family Resi Rebased"/>
      <sheetName val="Chart  AMSS &amp; Support Services "/>
      <sheetName val="AMSS &amp; Support Model Current"/>
      <sheetName val="AMSS &amp; Support Model Rebased"/>
    </sheetNames>
    <sheetDataSet>
      <sheetData sheetId="0"/>
      <sheetData sheetId="1"/>
      <sheetData sheetId="2"/>
      <sheetData sheetId="3"/>
      <sheetData sheetId="4">
        <row r="9">
          <cell r="E9" t="str">
            <v>11/1/19: Benchmark to BLS Registered Nurse</v>
          </cell>
        </row>
      </sheetData>
      <sheetData sheetId="5"/>
      <sheetData sheetId="6"/>
      <sheetData sheetId="7"/>
      <sheetData sheetId="8"/>
      <sheetData sheetId="9">
        <row r="5">
          <cell r="F5" t="str">
            <v>11/1/19: Benchmark to Direct Care III: Minimum education = BA or 5+ years related experience</v>
          </cell>
        </row>
        <row r="6">
          <cell r="F6" t="str">
            <v>11/1/19: Benchmark to BLS Case Manager: Minimum education = Masters</v>
          </cell>
        </row>
        <row r="7">
          <cell r="F7" t="str">
            <v xml:space="preserve">11/1/19: Benchmark to Direct Care : Minimum education = HS Diploma / GED / Associates </v>
          </cell>
        </row>
        <row r="9">
          <cell r="F9" t="str">
            <v>11/1/19: Benchmark to BLS Caseworker: Minimum education = BA or 8 years related experience</v>
          </cell>
        </row>
      </sheetData>
      <sheetData sheetId="10"/>
      <sheetData sheetId="11">
        <row r="5">
          <cell r="E5" t="str">
            <v>11/1/19: Benchmark to Direct Care III: Minimum education = BA or 5+ years related experience</v>
          </cell>
        </row>
        <row r="7">
          <cell r="E7" t="str">
            <v xml:space="preserve">11/1/19: Benchmark to Direct Care : Minimum education = HS Diploma / GED / Associates </v>
          </cell>
        </row>
      </sheetData>
      <sheetData sheetId="12"/>
      <sheetData sheetId="13"/>
      <sheetData sheetId="14"/>
      <sheetData sheetId="15">
        <row r="4">
          <cell r="E4" t="str">
            <v>Benchmark to "Direct Care" in Continuum (for ed requirements), blended average of case worker and case worker masters</v>
          </cell>
        </row>
      </sheetData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PSS Shared Living  (2)"/>
      <sheetName val=" Add on Rates"/>
      <sheetName val="Stipend Rates"/>
      <sheetName val="CAF Fall 2019"/>
    </sheetNames>
    <sheetDataSet>
      <sheetData sheetId="0">
        <row r="10">
          <cell r="C10">
            <v>43971.200000000004</v>
          </cell>
        </row>
        <row r="14">
          <cell r="C14">
            <v>60923.199999999997</v>
          </cell>
        </row>
        <row r="26">
          <cell r="C26">
            <v>29640</v>
          </cell>
        </row>
        <row r="30">
          <cell r="C30">
            <v>0.22309999999999999</v>
          </cell>
        </row>
        <row r="31">
          <cell r="C31">
            <v>3.7000000000000002E-3</v>
          </cell>
        </row>
        <row r="32">
          <cell r="C32">
            <v>1.7780248869661817E-2</v>
          </cell>
        </row>
      </sheetData>
      <sheetData sheetId="1"/>
      <sheetData sheetId="2"/>
      <sheetData sheetId="3"/>
      <sheetData sheetId="4">
        <row r="30">
          <cell r="BT30">
            <v>1.7780248869661817E-2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HabSupRates 3285 v1"/>
      <sheetName val="Chart"/>
      <sheetName val="CorpRepPayee 3274 Models"/>
      <sheetName val="TAP 2222 Model"/>
      <sheetName val="Rate Chart"/>
      <sheetName val="Spring2017 CAF"/>
      <sheetName val="RatesForReg"/>
      <sheetName val="DayHabSupRates 3285 (V2)"/>
      <sheetName val="Fiscal Impact"/>
      <sheetName val="CAF 2019 Fall"/>
      <sheetName val="DayHab 3285 add ons"/>
      <sheetName val="Kara ALTR Add on Rates"/>
    </sheetNames>
    <sheetDataSet>
      <sheetData sheetId="0"/>
      <sheetData sheetId="1">
        <row r="4">
          <cell r="C4">
            <v>32198.400000000001</v>
          </cell>
        </row>
        <row r="18">
          <cell r="C18">
            <v>57449.599999999999</v>
          </cell>
        </row>
        <row r="20">
          <cell r="C20">
            <v>86860.800000000003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BZ25">
            <v>1.7780248869661817E-2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MA"/>
      <sheetName val="Rates for Reg"/>
      <sheetName val="CAF Sp. 2016"/>
      <sheetName val="Fiscal Impact (9.19.17)"/>
      <sheetName val="Fiscal Impact"/>
      <sheetName val="IFC &amp; Specialty and Fam Res"/>
      <sheetName val="AMSS &amp; Support Services"/>
      <sheetName val="Sub Proc Look Up Table "/>
      <sheetName val="Shared Living (2)"/>
      <sheetName val="DC Add On"/>
      <sheetName val="Stipends"/>
      <sheetName val="S.Living Models Rate Review"/>
      <sheetName val="S.Living Original Models"/>
      <sheetName val="Shared Living original"/>
      <sheetName val="Sheet1"/>
    </sheetNames>
    <sheetDataSet>
      <sheetData sheetId="0"/>
      <sheetData sheetId="1"/>
      <sheetData sheetId="2">
        <row r="26">
          <cell r="BD26">
            <v>2.6438643292682744E-2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pril 1st Rates Look Up Table"/>
      <sheetName val=" April 1 PA&amp;S Youth Models"/>
      <sheetName val="Sub Proc Look Up Table "/>
      <sheetName val="Sub Proc PA&amp;S Youth Models"/>
      <sheetName val="Operational CAF of 3.93%"/>
      <sheetName val="Stipend CAF of 4.60%"/>
      <sheetName val="YITS Continium - Avg Salaries"/>
    </sheetNames>
    <sheetDataSet>
      <sheetData sheetId="0" refreshError="1"/>
      <sheetData sheetId="1">
        <row r="32">
          <cell r="O32">
            <v>53.935429954934122</v>
          </cell>
        </row>
        <row r="33">
          <cell r="V33">
            <v>96.613356886628324</v>
          </cell>
          <cell r="AJ33">
            <v>64.247112015524863</v>
          </cell>
        </row>
        <row r="34">
          <cell r="AY34">
            <v>62.358397003709314</v>
          </cell>
        </row>
        <row r="35">
          <cell r="BV35">
            <v>102.69651964755489</v>
          </cell>
          <cell r="CC35">
            <v>178.54001233701405</v>
          </cell>
          <cell r="CK35">
            <v>131.55086343215524</v>
          </cell>
        </row>
        <row r="36">
          <cell r="BH36">
            <v>109.42475061282609</v>
          </cell>
          <cell r="CY36">
            <v>68.966913810848496</v>
          </cell>
          <cell r="DN36">
            <v>133.48413221988204</v>
          </cell>
        </row>
        <row r="38">
          <cell r="R38">
            <v>61.382949954934126</v>
          </cell>
          <cell r="AH38">
            <v>77.50752</v>
          </cell>
        </row>
        <row r="39">
          <cell r="L39">
            <v>56.587519999999998</v>
          </cell>
          <cell r="R39">
            <v>79.577519999999993</v>
          </cell>
          <cell r="W39">
            <v>87.967520000000007</v>
          </cell>
          <cell r="AW39">
            <v>75.415520000000001</v>
          </cell>
        </row>
        <row r="40">
          <cell r="BT40">
            <v>104.5888898630137</v>
          </cell>
          <cell r="CA40">
            <v>104.5888898630137</v>
          </cell>
          <cell r="CG40">
            <v>57.926400000000001</v>
          </cell>
        </row>
        <row r="41">
          <cell r="BD41">
            <v>108.88752000000001</v>
          </cell>
          <cell r="CW41">
            <v>64.955520000000007</v>
          </cell>
        </row>
        <row r="44">
          <cell r="S44">
            <v>25</v>
          </cell>
          <cell r="W44">
            <v>22.99</v>
          </cell>
        </row>
        <row r="45">
          <cell r="W45">
            <v>7.4475200000000017</v>
          </cell>
        </row>
        <row r="46">
          <cell r="L46">
            <v>67.047520000000006</v>
          </cell>
        </row>
        <row r="51">
          <cell r="S51">
            <v>81.587519999999998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24"/>
  <sheetViews>
    <sheetView topLeftCell="M1" zoomScaleNormal="100" workbookViewId="0">
      <selection activeCell="AN6" sqref="AN6"/>
    </sheetView>
  </sheetViews>
  <sheetFormatPr defaultRowHeight="15"/>
  <cols>
    <col min="1" max="1" width="0" hidden="1" customWidth="1"/>
    <col min="2" max="2" width="29" hidden="1" customWidth="1"/>
    <col min="3" max="3" width="17.85546875" hidden="1" customWidth="1"/>
    <col min="4" max="4" width="15" hidden="1" customWidth="1"/>
    <col min="5" max="5" width="16.28515625" hidden="1" customWidth="1"/>
    <col min="6" max="6" width="5.28515625" hidden="1" customWidth="1"/>
    <col min="7" max="7" width="29" hidden="1" customWidth="1"/>
    <col min="8" max="8" width="17.85546875" hidden="1" customWidth="1"/>
    <col min="9" max="9" width="15" hidden="1" customWidth="1"/>
    <col min="10" max="10" width="16.28515625" hidden="1" customWidth="1"/>
    <col min="11" max="11" width="0.140625" hidden="1" customWidth="1"/>
    <col min="12" max="12" width="3" hidden="1" customWidth="1"/>
    <col min="13" max="13" width="29.7109375" customWidth="1"/>
    <col min="14" max="14" width="12.28515625" hidden="1" customWidth="1"/>
    <col min="15" max="15" width="12" hidden="1" customWidth="1"/>
    <col min="16" max="16" width="13.85546875" hidden="1" customWidth="1"/>
    <col min="17" max="17" width="10.7109375" hidden="1" customWidth="1"/>
    <col min="18" max="19" width="8.85546875" hidden="1" customWidth="1"/>
    <col min="20" max="20" width="13" style="26" hidden="1" customWidth="1"/>
    <col min="21" max="21" width="17.140625" hidden="1" customWidth="1"/>
    <col min="22" max="22" width="19.140625" hidden="1" customWidth="1"/>
    <col min="23" max="23" width="9.140625" hidden="1" customWidth="1"/>
    <col min="24" max="24" width="14.7109375" style="35" hidden="1" customWidth="1"/>
    <col min="25" max="26" width="13.7109375" hidden="1" customWidth="1"/>
    <col min="27" max="27" width="12.5703125" style="36" hidden="1" customWidth="1"/>
    <col min="28" max="29" width="14.28515625" style="36" hidden="1" customWidth="1"/>
    <col min="30" max="30" width="12.5703125" style="36" customWidth="1"/>
    <col min="31" max="32" width="14.28515625" style="36" customWidth="1"/>
    <col min="33" max="33" width="14.28515625" style="37" customWidth="1"/>
    <col min="34" max="34" width="14.28515625" style="38" hidden="1" customWidth="1"/>
    <col min="35" max="35" width="0.28515625" style="44" hidden="1" customWidth="1"/>
    <col min="36" max="36" width="8.85546875" style="44" hidden="1" customWidth="1"/>
    <col min="38" max="38" width="12.140625" style="42" bestFit="1" customWidth="1"/>
    <col min="39" max="39" width="15.7109375" style="42" bestFit="1" customWidth="1"/>
  </cols>
  <sheetData>
    <row r="1" spans="2:38" ht="30.6" customHeight="1">
      <c r="B1" s="1223" t="s">
        <v>53</v>
      </c>
      <c r="C1" s="1223"/>
      <c r="D1" s="1223"/>
      <c r="E1" s="1223"/>
      <c r="M1" s="29"/>
      <c r="N1" s="29"/>
      <c r="O1" s="29"/>
      <c r="P1" s="30"/>
      <c r="Q1" s="31" t="s">
        <v>54</v>
      </c>
      <c r="S1">
        <v>2.84</v>
      </c>
      <c r="T1" s="32">
        <f>S1*(Q2+1)</f>
        <v>2.9150857469512186</v>
      </c>
      <c r="U1" s="33"/>
      <c r="W1" s="34"/>
      <c r="AI1" s="39"/>
      <c r="AJ1" s="39"/>
      <c r="AK1" s="40"/>
      <c r="AL1" s="41"/>
    </row>
    <row r="2" spans="2:38" ht="55.5" customHeight="1">
      <c r="B2" s="1224" t="s">
        <v>55</v>
      </c>
      <c r="C2" s="1224"/>
      <c r="D2" s="1224"/>
      <c r="E2" s="1224"/>
      <c r="G2" s="1224" t="s">
        <v>56</v>
      </c>
      <c r="H2" s="1224"/>
      <c r="I2" s="1224"/>
      <c r="J2" s="1224"/>
      <c r="M2" s="1225" t="s">
        <v>57</v>
      </c>
      <c r="N2" s="1225"/>
      <c r="O2" s="1225"/>
      <c r="P2" s="1225"/>
      <c r="Q2" s="34">
        <f>'[8]CAF Sp. 2016'!BD26</f>
        <v>2.6438643292682744E-2</v>
      </c>
      <c r="T2" s="1226" t="s">
        <v>58</v>
      </c>
      <c r="U2" s="1226"/>
      <c r="V2" s="1226"/>
      <c r="AA2" s="1227" t="s">
        <v>59</v>
      </c>
      <c r="AB2" s="1227"/>
      <c r="AC2" s="1227"/>
      <c r="AD2" s="1227" t="s">
        <v>60</v>
      </c>
      <c r="AE2" s="1227"/>
      <c r="AF2" s="1227"/>
      <c r="AI2" s="43"/>
    </row>
    <row r="3" spans="2:38" ht="30.75" thickBot="1">
      <c r="B3" s="1228" t="s">
        <v>61</v>
      </c>
      <c r="C3" s="1229"/>
      <c r="D3" s="1229"/>
      <c r="E3" s="1230"/>
      <c r="G3" s="1228" t="s">
        <v>61</v>
      </c>
      <c r="H3" s="1229"/>
      <c r="I3" s="1229"/>
      <c r="J3" s="1230"/>
      <c r="M3" s="1231"/>
      <c r="N3" s="1231"/>
      <c r="O3" s="1231"/>
      <c r="P3" s="1231"/>
      <c r="Q3" s="1232" t="s">
        <v>62</v>
      </c>
      <c r="R3" s="1232"/>
      <c r="S3" s="1232"/>
      <c r="T3" s="45" t="s">
        <v>63</v>
      </c>
      <c r="U3" s="46" t="s">
        <v>64</v>
      </c>
      <c r="V3" s="47" t="s">
        <v>65</v>
      </c>
      <c r="W3" s="26"/>
      <c r="Z3" s="48"/>
    </row>
    <row r="4" spans="2:38" ht="45.75">
      <c r="B4" s="49" t="s">
        <v>66</v>
      </c>
      <c r="C4" s="50" t="s">
        <v>67</v>
      </c>
      <c r="D4" s="50" t="s">
        <v>68</v>
      </c>
      <c r="E4" s="51" t="s">
        <v>69</v>
      </c>
      <c r="G4" s="49" t="s">
        <v>66</v>
      </c>
      <c r="H4" s="50" t="s">
        <v>67</v>
      </c>
      <c r="I4" s="50" t="s">
        <v>68</v>
      </c>
      <c r="J4" s="51" t="s">
        <v>69</v>
      </c>
      <c r="M4" s="52" t="s">
        <v>66</v>
      </c>
      <c r="N4" s="53" t="s">
        <v>67</v>
      </c>
      <c r="O4" s="53" t="s">
        <v>68</v>
      </c>
      <c r="P4" s="54" t="s">
        <v>69</v>
      </c>
      <c r="Q4" s="55" t="s">
        <v>67</v>
      </c>
      <c r="R4" s="56" t="s">
        <v>68</v>
      </c>
      <c r="S4" s="57" t="s">
        <v>69</v>
      </c>
      <c r="T4" s="55" t="s">
        <v>67</v>
      </c>
      <c r="U4" s="56" t="s">
        <v>68</v>
      </c>
      <c r="V4" s="57" t="s">
        <v>69</v>
      </c>
      <c r="W4" s="58" t="s">
        <v>70</v>
      </c>
      <c r="X4" s="59" t="s">
        <v>71</v>
      </c>
      <c r="Y4" s="60" t="s">
        <v>72</v>
      </c>
      <c r="Z4" s="61" t="s">
        <v>73</v>
      </c>
      <c r="AA4" s="62" t="s">
        <v>67</v>
      </c>
      <c r="AB4" s="63" t="s">
        <v>68</v>
      </c>
      <c r="AC4" s="64" t="s">
        <v>69</v>
      </c>
      <c r="AD4" s="62" t="s">
        <v>67</v>
      </c>
      <c r="AE4" s="63" t="s">
        <v>68</v>
      </c>
      <c r="AF4" s="64" t="s">
        <v>69</v>
      </c>
      <c r="AG4" s="65"/>
      <c r="AH4" s="66"/>
      <c r="AL4" s="67"/>
    </row>
    <row r="5" spans="2:38" ht="30">
      <c r="B5" s="68" t="s">
        <v>74</v>
      </c>
      <c r="C5" s="69" t="s">
        <v>21</v>
      </c>
      <c r="D5" s="70">
        <f>'[9] April 1 PA&amp;S Youth Models'!S44</f>
        <v>25</v>
      </c>
      <c r="E5" s="70">
        <f>D5</f>
        <v>25</v>
      </c>
      <c r="G5" s="68" t="s">
        <v>74</v>
      </c>
      <c r="H5" s="69" t="s">
        <v>21</v>
      </c>
      <c r="I5" s="70" t="e">
        <f>D5*(#REF!+1)</f>
        <v>#REF!</v>
      </c>
      <c r="J5" s="70" t="e">
        <f>E5*(#REF!+1)</f>
        <v>#REF!</v>
      </c>
      <c r="M5" s="71" t="s">
        <v>74</v>
      </c>
      <c r="N5" s="69" t="s">
        <v>21</v>
      </c>
      <c r="O5" s="70">
        <v>25</v>
      </c>
      <c r="P5" s="72">
        <v>25</v>
      </c>
      <c r="Q5" s="73" t="str">
        <f>N5</f>
        <v>N/A</v>
      </c>
      <c r="R5" s="74">
        <f>O5*(Q2+1)</f>
        <v>25.660966082317067</v>
      </c>
      <c r="S5" s="75">
        <f>R5</f>
        <v>25.660966082317067</v>
      </c>
      <c r="T5" s="76" t="s">
        <v>21</v>
      </c>
      <c r="U5" s="77">
        <v>25</v>
      </c>
      <c r="V5" s="77">
        <f>U5</f>
        <v>25</v>
      </c>
      <c r="W5" s="78" t="s">
        <v>75</v>
      </c>
      <c r="X5" s="35">
        <v>0</v>
      </c>
      <c r="Y5" s="35"/>
      <c r="AA5" s="79" t="s">
        <v>21</v>
      </c>
      <c r="AB5" s="80">
        <v>25.16</v>
      </c>
      <c r="AC5" s="80">
        <v>25.16</v>
      </c>
      <c r="AD5" s="79" t="s">
        <v>21</v>
      </c>
      <c r="AE5" s="80">
        <v>27.02</v>
      </c>
      <c r="AF5" s="80">
        <f>AE5</f>
        <v>27.02</v>
      </c>
      <c r="AG5" s="81"/>
      <c r="AH5" s="82"/>
      <c r="AI5" s="83"/>
    </row>
    <row r="6" spans="2:38">
      <c r="B6" s="68" t="s">
        <v>76</v>
      </c>
      <c r="C6" s="70">
        <f>'[9] April 1 PA&amp;S Youth Models'!W45</f>
        <v>7.4475200000000017</v>
      </c>
      <c r="D6" s="70">
        <f>'[9] April 1 PA&amp;S Youth Models'!W44</f>
        <v>22.99</v>
      </c>
      <c r="E6" s="70">
        <f t="shared" ref="E6:E11" si="0">SUM(C6:D6)</f>
        <v>30.437519999999999</v>
      </c>
      <c r="G6" s="68" t="s">
        <v>76</v>
      </c>
      <c r="H6" s="70" t="e">
        <f>C6*(#REF!+1)</f>
        <v>#REF!</v>
      </c>
      <c r="I6" s="70" t="e">
        <f>D6*(#REF!+1)</f>
        <v>#REF!</v>
      </c>
      <c r="J6" s="70" t="e">
        <f>SUM(H6:I6)</f>
        <v>#REF!</v>
      </c>
      <c r="M6" s="71" t="s">
        <v>76</v>
      </c>
      <c r="N6" s="70">
        <v>7.4475200000000017</v>
      </c>
      <c r="O6" s="70">
        <v>22.99</v>
      </c>
      <c r="P6" s="72">
        <v>30.437519999999999</v>
      </c>
      <c r="Q6" s="73">
        <f>N6*($Q$2+1)</f>
        <v>7.644422324695122</v>
      </c>
      <c r="R6" s="74">
        <f>O6*($Q$2+1)</f>
        <v>23.597824409298774</v>
      </c>
      <c r="S6" s="75">
        <f>SUM(Q6:R6)</f>
        <v>31.242246733993895</v>
      </c>
      <c r="T6" s="84">
        <f>Q6</f>
        <v>7.644422324695122</v>
      </c>
      <c r="U6" s="77">
        <v>24.85</v>
      </c>
      <c r="V6" s="77">
        <f>U6+T6</f>
        <v>32.494422324695122</v>
      </c>
      <c r="W6" s="78">
        <f>(V6-P6)/P6</f>
        <v>6.7577855380304419E-2</v>
      </c>
      <c r="X6" s="35">
        <v>81860</v>
      </c>
      <c r="Y6" s="35">
        <f>X6*(W6+1)</f>
        <v>87391.923241431708</v>
      </c>
      <c r="Z6" s="85">
        <f>Y6-X6</f>
        <v>5531.9232414317084</v>
      </c>
      <c r="AA6" s="80">
        <f>'[10]Sub Proc PA&amp;S Youth Models'!L31</f>
        <v>7.7873730221669204</v>
      </c>
      <c r="AB6" s="80">
        <v>25.16</v>
      </c>
      <c r="AC6" s="80">
        <f>SUM(AA6:AB6)</f>
        <v>32.947373022166921</v>
      </c>
      <c r="AD6" s="80">
        <f>'[11]IFC-Inte &amp; Enhanced FC Rebased'!K27</f>
        <v>7.9286620000000001</v>
      </c>
      <c r="AE6" s="80">
        <f>'[11]IFC-Inte &amp; Enhanced FC Rebased'!K26</f>
        <v>27.02</v>
      </c>
      <c r="AF6" s="80">
        <f>AE6+AD6</f>
        <v>34.948661999999999</v>
      </c>
      <c r="AG6" s="81"/>
      <c r="AH6" s="82"/>
      <c r="AI6" s="83"/>
      <c r="AJ6" s="83"/>
    </row>
    <row r="7" spans="2:38">
      <c r="B7" s="68" t="s">
        <v>77</v>
      </c>
      <c r="C7" s="70">
        <f>'[9] April 1 PA&amp;S Youth Models'!O32</f>
        <v>53.935429954934122</v>
      </c>
      <c r="D7" s="70">
        <f>'[9] April 1 PA&amp;S Youth Models'!L39</f>
        <v>56.587519999999998</v>
      </c>
      <c r="E7" s="70">
        <f t="shared" si="0"/>
        <v>110.52294995493412</v>
      </c>
      <c r="G7" s="68" t="s">
        <v>77</v>
      </c>
      <c r="H7" s="70" t="e">
        <f>C7*(#REF!+1)</f>
        <v>#REF!</v>
      </c>
      <c r="I7" s="70" t="e">
        <f>D7*(#REF!+1)</f>
        <v>#REF!</v>
      </c>
      <c r="J7" s="70" t="e">
        <f t="shared" ref="J7:J11" si="1">SUM(H7:I7)</f>
        <v>#REF!</v>
      </c>
      <c r="M7" s="71" t="s">
        <v>77</v>
      </c>
      <c r="N7" s="70">
        <v>57.697779004020873</v>
      </c>
      <c r="O7" s="70">
        <v>56.587519999999998</v>
      </c>
      <c r="P7" s="72">
        <v>114.28529900402087</v>
      </c>
      <c r="Q7" s="84">
        <f t="shared" ref="Q7:R11" si="2">N7*($Q$2+1)</f>
        <v>59.223230001888211</v>
      </c>
      <c r="R7" s="86">
        <f t="shared" si="2"/>
        <v>58.08361725609754</v>
      </c>
      <c r="S7" s="87">
        <f t="shared" ref="S7:S11" si="3">SUM(Q7:R7)</f>
        <v>117.30684725798575</v>
      </c>
      <c r="T7" s="84">
        <f t="shared" ref="T7:T11" si="4">Q7</f>
        <v>59.223230001888211</v>
      </c>
      <c r="U7" s="80">
        <v>58.447520000000004</v>
      </c>
      <c r="V7" s="80">
        <f t="shared" ref="V7:V11" si="5">U7+T7</f>
        <v>117.67075000188822</v>
      </c>
      <c r="W7" s="88">
        <f t="shared" ref="W7:W11" si="6">(V7-P7)/P7</f>
        <v>2.9622803872160691E-2</v>
      </c>
      <c r="X7" s="89">
        <v>29037818</v>
      </c>
      <c r="Y7" s="89">
        <f t="shared" ref="Y7:Y10" si="7">X7*(W7+1)</f>
        <v>29897999.587489497</v>
      </c>
      <c r="Z7" s="90">
        <f>Y7-X7</f>
        <v>860181.58748949692</v>
      </c>
      <c r="AA7" s="80">
        <f>'[10]Sub Proc PA&amp;S Youth Models'!N26</f>
        <v>60.271106552504307</v>
      </c>
      <c r="AB7" s="80">
        <f>'[10]Sub Proc PA&amp;S Youth Models'!L38</f>
        <v>59.385793624000002</v>
      </c>
      <c r="AC7" s="80">
        <f t="shared" ref="AC7:AC11" si="8">SUM(AA7:AB7)</f>
        <v>119.65690017650431</v>
      </c>
      <c r="AD7" s="80">
        <f>'[11]IFC-Inte &amp; Enhanced FC Rebased'!K20</f>
        <v>61.037272214048357</v>
      </c>
      <c r="AE7" s="80">
        <f>'[11]IFC-Inte &amp; Enhanced FC Rebased'!K34</f>
        <v>61.859293999999991</v>
      </c>
      <c r="AF7" s="80">
        <f>AE7+AD7</f>
        <v>122.89656621404835</v>
      </c>
      <c r="AG7" s="81"/>
      <c r="AH7" s="82"/>
      <c r="AI7" s="83"/>
      <c r="AJ7" s="83"/>
    </row>
    <row r="8" spans="2:38">
      <c r="B8" s="68" t="s">
        <v>78</v>
      </c>
      <c r="C8" s="70">
        <f>'[9] April 1 PA&amp;S Youth Models'!O32</f>
        <v>53.935429954934122</v>
      </c>
      <c r="D8" s="70">
        <f>'[9] April 1 PA&amp;S Youth Models'!L46</f>
        <v>67.047520000000006</v>
      </c>
      <c r="E8" s="70">
        <f t="shared" si="0"/>
        <v>120.98294995493413</v>
      </c>
      <c r="G8" s="68" t="s">
        <v>78</v>
      </c>
      <c r="H8" s="70" t="e">
        <f>C8*(#REF!+1)</f>
        <v>#REF!</v>
      </c>
      <c r="I8" s="70" t="e">
        <f>D8*(#REF!+1)</f>
        <v>#REF!</v>
      </c>
      <c r="J8" s="70" t="e">
        <f t="shared" si="1"/>
        <v>#REF!</v>
      </c>
      <c r="M8" s="71" t="s">
        <v>78</v>
      </c>
      <c r="N8" s="70">
        <v>57.697779004020873</v>
      </c>
      <c r="O8" s="70">
        <v>67.047519999999992</v>
      </c>
      <c r="P8" s="72">
        <v>124.74529900402086</v>
      </c>
      <c r="Q8" s="73">
        <f t="shared" si="2"/>
        <v>59.223230001888211</v>
      </c>
      <c r="R8" s="74">
        <f t="shared" si="2"/>
        <v>68.820165464938995</v>
      </c>
      <c r="S8" s="75">
        <f t="shared" si="3"/>
        <v>128.04339546682721</v>
      </c>
      <c r="T8" s="84">
        <f t="shared" si="4"/>
        <v>59.223230001888211</v>
      </c>
      <c r="U8" s="77">
        <v>68.91</v>
      </c>
      <c r="V8" s="77">
        <f>U8+T8</f>
        <v>128.13323000188819</v>
      </c>
      <c r="W8" s="78">
        <f t="shared" si="6"/>
        <v>2.7158786943611617E-2</v>
      </c>
      <c r="X8" s="35">
        <v>0</v>
      </c>
      <c r="Y8" s="35"/>
      <c r="AA8" s="80">
        <f>'[10]Sub Proc PA&amp;S Youth Models'!N26</f>
        <v>60.271106552504307</v>
      </c>
      <c r="AB8" s="80">
        <f>'[10]Sub Proc PA&amp;S Youth Models'!L45</f>
        <v>70.041395623999989</v>
      </c>
      <c r="AC8" s="80">
        <f t="shared" si="8"/>
        <v>130.3125021765043</v>
      </c>
      <c r="AD8" s="80">
        <f>'[11]IFC-Inte &amp; Enhanced FC Rebased'!K20</f>
        <v>61.037272214048357</v>
      </c>
      <c r="AE8" s="80">
        <f>'[11]IFC-Inte &amp; Enhanced FC Rebased'!K41</f>
        <v>72.709041999999997</v>
      </c>
      <c r="AF8" s="80">
        <f>AE8+AD8</f>
        <v>133.74631421404837</v>
      </c>
      <c r="AG8" s="81"/>
      <c r="AH8" s="82"/>
      <c r="AI8" s="83"/>
      <c r="AJ8" s="83"/>
    </row>
    <row r="9" spans="2:38" ht="28.9" customHeight="1">
      <c r="B9" s="68" t="s">
        <v>79</v>
      </c>
      <c r="C9" s="70">
        <f>'[9] April 1 PA&amp;S Youth Models'!O32</f>
        <v>53.935429954934122</v>
      </c>
      <c r="D9" s="70">
        <f>'[9] April 1 PA&amp;S Youth Models'!S51</f>
        <v>81.587519999999998</v>
      </c>
      <c r="E9" s="70">
        <f t="shared" si="0"/>
        <v>135.52294995493412</v>
      </c>
      <c r="G9" s="68" t="s">
        <v>79</v>
      </c>
      <c r="H9" s="70" t="e">
        <f>C9*(#REF!+1)</f>
        <v>#REF!</v>
      </c>
      <c r="I9" s="70" t="e">
        <f>D9*(#REF!+1)</f>
        <v>#REF!</v>
      </c>
      <c r="J9" s="70" t="e">
        <f t="shared" si="1"/>
        <v>#REF!</v>
      </c>
      <c r="M9" s="71" t="s">
        <v>79</v>
      </c>
      <c r="N9" s="70">
        <v>57.697779004020873</v>
      </c>
      <c r="O9" s="70">
        <v>81.587519999999998</v>
      </c>
      <c r="P9" s="72">
        <v>139.28529900402089</v>
      </c>
      <c r="Q9" s="73">
        <f t="shared" si="2"/>
        <v>59.223230001888211</v>
      </c>
      <c r="R9" s="74">
        <f t="shared" si="2"/>
        <v>83.744583338414614</v>
      </c>
      <c r="S9" s="75">
        <f t="shared" si="3"/>
        <v>142.96781334030283</v>
      </c>
      <c r="T9" s="84">
        <v>60.79</v>
      </c>
      <c r="U9" s="77">
        <v>83.447519999999997</v>
      </c>
      <c r="V9" s="77">
        <f t="shared" si="5"/>
        <v>144.23751999999999</v>
      </c>
      <c r="W9" s="78">
        <f t="shared" si="6"/>
        <v>3.5554513156741283E-2</v>
      </c>
      <c r="X9" s="35">
        <v>0</v>
      </c>
      <c r="Y9" s="35"/>
      <c r="AA9" s="80">
        <v>62.38</v>
      </c>
      <c r="AB9" s="80">
        <f>'[10]Sub Proc PA&amp;S Youth Models'!R55</f>
        <v>84.545793623999998</v>
      </c>
      <c r="AC9" s="80">
        <f t="shared" si="8"/>
        <v>146.92579362399999</v>
      </c>
      <c r="AD9" s="80">
        <f>'[11]IFC-Inte &amp; Enhanced FC Rebased'!O54</f>
        <v>63.032354000000005</v>
      </c>
      <c r="AE9" s="80">
        <f>'[11]IFC-Inte &amp; Enhanced FC Rebased'!O49</f>
        <v>87.467141999999996</v>
      </c>
      <c r="AF9" s="80">
        <f>AD9+AE9</f>
        <v>150.49949599999999</v>
      </c>
      <c r="AG9" s="81"/>
      <c r="AH9" s="82"/>
      <c r="AI9" s="83"/>
      <c r="AJ9" s="83"/>
    </row>
    <row r="10" spans="2:38" ht="28.9" customHeight="1">
      <c r="B10" s="68" t="s">
        <v>80</v>
      </c>
      <c r="C10" s="70">
        <f>'[9] April 1 PA&amp;S Youth Models'!R38</f>
        <v>61.382949954934126</v>
      </c>
      <c r="D10" s="91">
        <f>'[9] April 1 PA&amp;S Youth Models'!R39</f>
        <v>79.577519999999993</v>
      </c>
      <c r="E10" s="70">
        <f t="shared" si="0"/>
        <v>140.96046995493413</v>
      </c>
      <c r="G10" s="68" t="s">
        <v>80</v>
      </c>
      <c r="H10" s="70" t="e">
        <f>C10*(#REF!+1)</f>
        <v>#REF!</v>
      </c>
      <c r="I10" s="70" t="e">
        <f>D10*(#REF!+1)</f>
        <v>#REF!</v>
      </c>
      <c r="J10" s="70" t="e">
        <f t="shared" si="1"/>
        <v>#REF!</v>
      </c>
      <c r="M10" s="71" t="s">
        <v>81</v>
      </c>
      <c r="N10" s="70">
        <v>65.14529900402087</v>
      </c>
      <c r="O10" s="70">
        <v>79.577519999999993</v>
      </c>
      <c r="P10" s="72">
        <v>144.72999999999999</v>
      </c>
      <c r="Q10" s="73">
        <f t="shared" si="2"/>
        <v>66.867652326583325</v>
      </c>
      <c r="R10" s="74">
        <f t="shared" si="2"/>
        <v>81.681441665396306</v>
      </c>
      <c r="S10" s="75">
        <f t="shared" si="3"/>
        <v>148.54909399197965</v>
      </c>
      <c r="T10" s="84">
        <f t="shared" si="4"/>
        <v>66.867652326583325</v>
      </c>
      <c r="U10" s="77">
        <v>83.297520000000006</v>
      </c>
      <c r="V10" s="77">
        <f t="shared" si="5"/>
        <v>150.16517232658333</v>
      </c>
      <c r="W10" s="78">
        <f t="shared" si="6"/>
        <v>3.7553874985029656E-2</v>
      </c>
      <c r="X10" s="35">
        <v>196197</v>
      </c>
      <c r="Y10" s="35">
        <f t="shared" si="7"/>
        <v>203564.95761043788</v>
      </c>
      <c r="Z10" s="85">
        <f>Y10-X10</f>
        <v>7367.9576104378793</v>
      </c>
      <c r="AA10" s="80">
        <f>'[10]Sub Proc PA&amp;S Youth Models'!R40</f>
        <v>68.066051999999999</v>
      </c>
      <c r="AB10" s="80">
        <f>'[10]Sub Proc PA&amp;S Youth Models'!R43</f>
        <v>84.545793623999998</v>
      </c>
      <c r="AC10" s="80">
        <f t="shared" si="8"/>
        <v>152.61184562400001</v>
      </c>
      <c r="AD10" s="80">
        <f>'[11]IFC-Inte &amp; Enhanced FC Rebased'!O34</f>
        <v>69.281645999999995</v>
      </c>
      <c r="AE10" s="80">
        <f>'[11]IFC-Inte &amp; Enhanced FC Rebased'!O37</f>
        <v>88.879293999999987</v>
      </c>
      <c r="AF10" s="80">
        <f>AD10+AE10</f>
        <v>158.16093999999998</v>
      </c>
      <c r="AG10" s="81"/>
      <c r="AH10" s="82"/>
      <c r="AI10" s="83"/>
      <c r="AJ10" s="83"/>
    </row>
    <row r="11" spans="2:38" ht="15.75" thickBot="1">
      <c r="B11" s="68" t="s">
        <v>82</v>
      </c>
      <c r="C11" s="70">
        <f>'[9] April 1 PA&amp;S Youth Models'!V33</f>
        <v>96.613356886628324</v>
      </c>
      <c r="D11" s="70">
        <f>'[9] April 1 PA&amp;S Youth Models'!W39</f>
        <v>87.967520000000007</v>
      </c>
      <c r="E11" s="70">
        <f t="shared" si="0"/>
        <v>184.58087688662835</v>
      </c>
      <c r="G11" s="68" t="s">
        <v>82</v>
      </c>
      <c r="H11" s="70" t="e">
        <f>C11*(#REF!+1)</f>
        <v>#REF!</v>
      </c>
      <c r="I11" s="70" t="e">
        <f>D11*(#REF!+1)</f>
        <v>#REF!</v>
      </c>
      <c r="J11" s="70" t="e">
        <f t="shared" si="1"/>
        <v>#REF!</v>
      </c>
      <c r="K11" s="92"/>
      <c r="L11" s="92"/>
      <c r="M11" s="93" t="s">
        <v>83</v>
      </c>
      <c r="N11" s="70">
        <v>102.15538591032011</v>
      </c>
      <c r="O11" s="70">
        <v>87.967520000000007</v>
      </c>
      <c r="P11" s="72">
        <v>190.13</v>
      </c>
      <c r="Q11" s="73">
        <f t="shared" si="2"/>
        <v>104.8562357188294</v>
      </c>
      <c r="R11" s="74">
        <f t="shared" si="2"/>
        <v>90.293261882621934</v>
      </c>
      <c r="S11" s="75">
        <f t="shared" si="3"/>
        <v>195.14949760145134</v>
      </c>
      <c r="T11" s="84">
        <f t="shared" si="4"/>
        <v>104.8562357188294</v>
      </c>
      <c r="U11" s="77">
        <v>89.827520000000021</v>
      </c>
      <c r="V11" s="77">
        <f t="shared" si="5"/>
        <v>194.68375571882942</v>
      </c>
      <c r="W11" s="78">
        <f t="shared" si="6"/>
        <v>2.3950748008359658E-2</v>
      </c>
      <c r="X11" s="94"/>
      <c r="Y11" s="35"/>
      <c r="AA11" s="80">
        <f>'[10]Sub Proc PA&amp;S Youth Models'!T26</f>
        <v>106.7626303267715</v>
      </c>
      <c r="AB11" s="80">
        <f>'[10]Sub Proc PA&amp;S Youth Models'!S32</f>
        <v>91.352599624000007</v>
      </c>
      <c r="AC11" s="80">
        <f t="shared" si="8"/>
        <v>198.11522995077149</v>
      </c>
      <c r="AD11" s="80">
        <f>'[11]IFC-Inte &amp; Enhanced FC Rebased'!P21</f>
        <v>108.93430717380325</v>
      </c>
      <c r="AE11" s="80">
        <f>'[11]IFC-Inte &amp; Enhanced FC Rebased'!O28</f>
        <v>94.388182</v>
      </c>
      <c r="AF11" s="80">
        <f>AD11+AE11</f>
        <v>203.32248917380326</v>
      </c>
      <c r="AG11" s="81"/>
      <c r="AH11" s="82"/>
      <c r="AI11" s="83"/>
      <c r="AJ11" s="83"/>
    </row>
    <row r="12" spans="2:38" ht="43.9" customHeight="1">
      <c r="B12" s="49" t="s">
        <v>84</v>
      </c>
      <c r="C12" s="50" t="s">
        <v>67</v>
      </c>
      <c r="D12" s="50" t="s">
        <v>68</v>
      </c>
      <c r="E12" s="51" t="s">
        <v>69</v>
      </c>
      <c r="G12" s="49" t="s">
        <v>84</v>
      </c>
      <c r="H12" s="50" t="s">
        <v>67</v>
      </c>
      <c r="I12" s="50" t="s">
        <v>68</v>
      </c>
      <c r="J12" s="51" t="s">
        <v>69</v>
      </c>
      <c r="M12" s="95" t="s">
        <v>84</v>
      </c>
      <c r="N12" s="50" t="s">
        <v>67</v>
      </c>
      <c r="O12" s="50" t="s">
        <v>68</v>
      </c>
      <c r="P12" s="96" t="s">
        <v>69</v>
      </c>
      <c r="Q12" s="97" t="s">
        <v>67</v>
      </c>
      <c r="R12" s="98" t="s">
        <v>68</v>
      </c>
      <c r="S12" s="99" t="s">
        <v>69</v>
      </c>
      <c r="T12" s="98" t="s">
        <v>67</v>
      </c>
      <c r="U12" s="100" t="s">
        <v>68</v>
      </c>
      <c r="V12" s="101" t="s">
        <v>69</v>
      </c>
      <c r="W12" s="58" t="s">
        <v>70</v>
      </c>
      <c r="X12" s="59" t="s">
        <v>71</v>
      </c>
      <c r="Y12" s="60" t="s">
        <v>72</v>
      </c>
      <c r="Z12" s="61" t="s">
        <v>73</v>
      </c>
      <c r="AA12" s="62" t="s">
        <v>67</v>
      </c>
      <c r="AB12" s="63" t="s">
        <v>68</v>
      </c>
      <c r="AC12" s="64" t="s">
        <v>69</v>
      </c>
      <c r="AD12" s="62" t="s">
        <v>67</v>
      </c>
      <c r="AE12" s="63" t="s">
        <v>68</v>
      </c>
      <c r="AF12" s="64" t="s">
        <v>69</v>
      </c>
      <c r="AG12" s="65"/>
      <c r="AH12" s="66"/>
      <c r="AI12" s="83"/>
      <c r="AJ12" s="83"/>
    </row>
    <row r="13" spans="2:38">
      <c r="B13" s="68" t="s">
        <v>85</v>
      </c>
      <c r="C13" s="70">
        <f>'[9] April 1 PA&amp;S Youth Models'!CY36</f>
        <v>68.966913810848496</v>
      </c>
      <c r="D13" s="70">
        <f>'[9] April 1 PA&amp;S Youth Models'!CW41</f>
        <v>64.955520000000007</v>
      </c>
      <c r="E13" s="70">
        <f t="shared" ref="E13:E19" si="9">SUM(C13:D13)</f>
        <v>133.9224338108485</v>
      </c>
      <c r="G13" s="68" t="s">
        <v>85</v>
      </c>
      <c r="H13" s="70" t="e">
        <f>C13*(#REF!+1)</f>
        <v>#REF!</v>
      </c>
      <c r="I13" s="70" t="e">
        <f>D13*(#REF!+1)</f>
        <v>#REF!</v>
      </c>
      <c r="J13" s="70" t="e">
        <f>SUM(H13:I13)</f>
        <v>#REF!</v>
      </c>
      <c r="M13" s="71" t="s">
        <v>85</v>
      </c>
      <c r="N13" s="70">
        <v>73.284727778599631</v>
      </c>
      <c r="O13" s="70">
        <v>64.955520000000007</v>
      </c>
      <c r="P13" s="72">
        <v>138.24024777859964</v>
      </c>
      <c r="Q13" s="84">
        <f>N13*($Q$2+1)</f>
        <v>75.222276555139373</v>
      </c>
      <c r="R13" s="86">
        <f>O13*($Q$2+1)</f>
        <v>66.672855823170721</v>
      </c>
      <c r="S13" s="102">
        <f>SUM(Q13:R13)</f>
        <v>141.89513237831011</v>
      </c>
      <c r="T13" s="84">
        <f>Q13+T1</f>
        <v>78.137362302090594</v>
      </c>
      <c r="U13" s="80">
        <v>66.815520000000006</v>
      </c>
      <c r="V13" s="80">
        <f>U13+T13</f>
        <v>144.95288230209059</v>
      </c>
      <c r="W13" s="88">
        <f>(V13-P13)/P13</f>
        <v>4.8557743720494845E-2</v>
      </c>
      <c r="X13" s="89">
        <v>243767</v>
      </c>
      <c r="Y13" s="89">
        <f>X13*(W13+1)</f>
        <v>255603.77551351389</v>
      </c>
      <c r="Z13" s="89">
        <f>Y13-X13</f>
        <v>11836.775513513887</v>
      </c>
      <c r="AA13" s="80">
        <f>'[10]Sub Proc PA&amp;S Youth Models'!CQ31</f>
        <v>79.549120126720481</v>
      </c>
      <c r="AB13" s="80">
        <f>'[10]Sub Proc PA&amp;S Youth Models'!CO38</f>
        <v>67.910275224000003</v>
      </c>
      <c r="AC13" s="80">
        <f>SUM(AA13:AB13)</f>
        <v>147.45939535072048</v>
      </c>
      <c r="AD13" s="80">
        <f>'[11]IFC- Transition to Adult Rebase'!J21</f>
        <v>83.378606599183655</v>
      </c>
      <c r="AE13" s="80">
        <f>'[11]IFC- Transition to Adult Rebase'!I28</f>
        <v>70.530950000000004</v>
      </c>
      <c r="AF13" s="80">
        <f>AD13+AE13</f>
        <v>153.90955659918365</v>
      </c>
      <c r="AG13" s="81"/>
      <c r="AH13" s="82"/>
      <c r="AI13" s="83"/>
      <c r="AJ13" s="83"/>
    </row>
    <row r="14" spans="2:38">
      <c r="B14" s="68" t="s">
        <v>86</v>
      </c>
      <c r="C14" s="70">
        <f>'[9] April 1 PA&amp;S Youth Models'!AY34</f>
        <v>62.358397003709314</v>
      </c>
      <c r="D14" s="70">
        <f>'[9] April 1 PA&amp;S Youth Models'!AW39</f>
        <v>75.415520000000001</v>
      </c>
      <c r="E14" s="70">
        <f t="shared" si="9"/>
        <v>137.7739170037093</v>
      </c>
      <c r="G14" s="68" t="s">
        <v>86</v>
      </c>
      <c r="H14" s="70" t="e">
        <f>C14*(#REF!+1)</f>
        <v>#REF!</v>
      </c>
      <c r="I14" s="70" t="e">
        <f>D14*(#REF!+1)</f>
        <v>#REF!</v>
      </c>
      <c r="J14" s="70" t="e">
        <f t="shared" ref="J14:J19" si="10">SUM(H14:I14)</f>
        <v>#REF!</v>
      </c>
      <c r="M14" s="71" t="s">
        <v>86</v>
      </c>
      <c r="N14" s="70">
        <v>67.231675890124848</v>
      </c>
      <c r="O14" s="70">
        <v>75.415520000000001</v>
      </c>
      <c r="P14" s="72">
        <v>142.64719589012486</v>
      </c>
      <c r="Q14" s="84">
        <f t="shared" ref="Q14:R19" si="11">N14*($Q$2+1)</f>
        <v>69.009190186953106</v>
      </c>
      <c r="R14" s="86">
        <f t="shared" si="11"/>
        <v>77.409404032012176</v>
      </c>
      <c r="S14" s="102">
        <f t="shared" ref="S14:S19" si="12">SUM(Q14:R14)</f>
        <v>146.41859421896527</v>
      </c>
      <c r="T14" s="84">
        <f>Q14+T1</f>
        <v>71.924275933904326</v>
      </c>
      <c r="U14" s="80">
        <v>77.27552</v>
      </c>
      <c r="V14" s="80">
        <f t="shared" ref="V14:V19" si="13">U14+T14</f>
        <v>149.19979593390434</v>
      </c>
      <c r="W14" s="88">
        <f t="shared" ref="W14:W19" si="14">(V14-P14)/P14</f>
        <v>4.5935708745559009E-2</v>
      </c>
      <c r="X14" s="89">
        <v>83324</v>
      </c>
      <c r="Y14" s="89">
        <f t="shared" ref="Y14:Y18" si="15">X14*(W14+1)</f>
        <v>87151.54699551496</v>
      </c>
      <c r="Z14" s="89">
        <f t="shared" ref="Z14:Z18" si="16">Y14-X14</f>
        <v>3827.5469955149601</v>
      </c>
      <c r="AA14" s="80">
        <f>'[10]Sub Proc PA&amp;S Youth Models'!AV35</f>
        <v>73.209662043449114</v>
      </c>
      <c r="AB14" s="80">
        <f>'[10]Sub Proc PA&amp;S Youth Models'!AT41</f>
        <v>78.565877223999991</v>
      </c>
      <c r="AC14" s="80">
        <f t="shared" ref="AC14:AC21" si="17">SUM(AA14:AB14)</f>
        <v>151.77553926744912</v>
      </c>
      <c r="AD14" s="80">
        <f>'[11]IFC-Shelter-Exploited Yth Rebas'!K18</f>
        <v>75.731502134844675</v>
      </c>
      <c r="AE14" s="80">
        <f>'[11]IFC-Shelter-Exploited Yth Rebas'!J26</f>
        <v>81.380697999999995</v>
      </c>
      <c r="AF14" s="80">
        <f>AD14+AE14</f>
        <v>157.11220013484467</v>
      </c>
      <c r="AG14" s="81"/>
      <c r="AH14" s="82"/>
      <c r="AI14" s="83"/>
      <c r="AJ14" s="83"/>
    </row>
    <row r="15" spans="2:38" ht="30">
      <c r="B15" s="68" t="s">
        <v>87</v>
      </c>
      <c r="C15" s="70">
        <f>'[9] April 1 PA&amp;S Youth Models'!AJ33</f>
        <v>64.247112015524863</v>
      </c>
      <c r="D15" s="70">
        <f>'[9] April 1 PA&amp;S Youth Models'!AH38</f>
        <v>77.50752</v>
      </c>
      <c r="E15" s="70">
        <f t="shared" si="9"/>
        <v>141.75463201552486</v>
      </c>
      <c r="G15" s="68" t="s">
        <v>87</v>
      </c>
      <c r="H15" s="70" t="e">
        <f>C15*(#REF!+1)</f>
        <v>#REF!</v>
      </c>
      <c r="I15" s="70" t="e">
        <f>D15*(#REF!+1)</f>
        <v>#REF!</v>
      </c>
      <c r="J15" s="70" t="e">
        <f t="shared" si="10"/>
        <v>#REF!</v>
      </c>
      <c r="M15" s="71" t="s">
        <v>87</v>
      </c>
      <c r="N15" s="70">
        <v>68.009461064611628</v>
      </c>
      <c r="O15" s="70">
        <v>77.50752</v>
      </c>
      <c r="P15" s="72">
        <v>145.51698106461163</v>
      </c>
      <c r="Q15" s="84">
        <f t="shared" si="11"/>
        <v>69.807538946226487</v>
      </c>
      <c r="R15" s="86">
        <f t="shared" si="11"/>
        <v>79.556713673780465</v>
      </c>
      <c r="S15" s="102">
        <f t="shared" si="12"/>
        <v>149.36425262000694</v>
      </c>
      <c r="T15" s="84">
        <f>Q15+T1</f>
        <v>72.722624693177707</v>
      </c>
      <c r="U15" s="80">
        <v>79.367520000000013</v>
      </c>
      <c r="V15" s="80">
        <f t="shared" si="13"/>
        <v>152.09014469317771</v>
      </c>
      <c r="W15" s="88">
        <f t="shared" si="14"/>
        <v>4.5171110481239986E-2</v>
      </c>
      <c r="X15" s="89">
        <v>577017</v>
      </c>
      <c r="Y15" s="89">
        <f t="shared" si="15"/>
        <v>603081.49865655368</v>
      </c>
      <c r="Z15" s="89">
        <f t="shared" si="16"/>
        <v>26064.498656553682</v>
      </c>
      <c r="AA15" s="80">
        <f>'[10]Sub Proc PA&amp;S Youth Models'!AH29</f>
        <v>74.022939924520912</v>
      </c>
      <c r="AB15" s="80">
        <f>'[10]Sub Proc PA&amp;S Youth Models'!AF37</f>
        <v>80.696997624000005</v>
      </c>
      <c r="AC15" s="80">
        <f t="shared" si="17"/>
        <v>154.71993754852093</v>
      </c>
      <c r="AD15" s="80">
        <f>'[11]IFC- Child home rehab Rebased'!L19</f>
        <v>75.796358551608392</v>
      </c>
      <c r="AE15" s="80">
        <f>'[11]IFC- Child home rehab Rebased'!K25</f>
        <v>83.548612000000006</v>
      </c>
      <c r="AF15" s="80">
        <f>AD15+AE15</f>
        <v>159.34497055160841</v>
      </c>
      <c r="AG15" s="81"/>
      <c r="AH15" s="82"/>
      <c r="AI15" s="83"/>
      <c r="AJ15" s="83"/>
    </row>
    <row r="16" spans="2:38">
      <c r="B16" s="68" t="s">
        <v>88</v>
      </c>
      <c r="C16" s="70">
        <f>'[9] April 1 PA&amp;S Youth Models'!CK35</f>
        <v>131.55086343215524</v>
      </c>
      <c r="D16" s="70">
        <f>'[9] April 1 PA&amp;S Youth Models'!CG40</f>
        <v>57.926400000000001</v>
      </c>
      <c r="E16" s="70">
        <f t="shared" si="9"/>
        <v>189.47726343215524</v>
      </c>
      <c r="G16" s="68" t="s">
        <v>88</v>
      </c>
      <c r="H16" s="70" t="e">
        <f>C16*(#REF!+1)</f>
        <v>#REF!</v>
      </c>
      <c r="I16" s="70" t="e">
        <f>D16*(#REF!+1)</f>
        <v>#REF!</v>
      </c>
      <c r="J16" s="70" t="e">
        <f t="shared" si="10"/>
        <v>#REF!</v>
      </c>
      <c r="M16" s="71" t="s">
        <v>88</v>
      </c>
      <c r="N16" s="70">
        <v>135.10583891160729</v>
      </c>
      <c r="O16" s="70">
        <v>57.926400000000001</v>
      </c>
      <c r="P16" s="72">
        <v>193.04</v>
      </c>
      <c r="Q16" s="84">
        <f t="shared" si="11"/>
        <v>138.67785399334991</v>
      </c>
      <c r="R16" s="86">
        <f t="shared" si="11"/>
        <v>59.457895426829253</v>
      </c>
      <c r="S16" s="102">
        <f t="shared" si="12"/>
        <v>198.13574942017917</v>
      </c>
      <c r="T16" s="84">
        <f>Q16</f>
        <v>138.67785399334991</v>
      </c>
      <c r="U16" s="80">
        <v>59.786400000000008</v>
      </c>
      <c r="V16" s="80">
        <f t="shared" si="13"/>
        <v>198.46425399334993</v>
      </c>
      <c r="W16" s="88">
        <f t="shared" si="14"/>
        <v>2.8099119319052714E-2</v>
      </c>
      <c r="X16" s="89">
        <v>0</v>
      </c>
      <c r="Y16" s="89"/>
      <c r="Z16" s="89"/>
      <c r="AA16" s="80">
        <f>'[10]Sub Proc PA&amp;S Youth Models'!CC31</f>
        <v>141.2756111475081</v>
      </c>
      <c r="AB16" s="80">
        <f>'[10]Sub Proc PA&amp;S Youth Models'!CA39</f>
        <v>60.749710680000007</v>
      </c>
      <c r="AC16" s="80">
        <f t="shared" si="17"/>
        <v>202.02532182750809</v>
      </c>
      <c r="AD16" s="80">
        <f>'[11]IFC- Acute-Adult Srvs -Rebased'!U18</f>
        <v>144.35396375822145</v>
      </c>
      <c r="AE16" s="80">
        <f>'[11]IFC- Acute-Adult Srvs -Rebased'!T25</f>
        <v>63.243502000000007</v>
      </c>
      <c r="AF16" s="80">
        <f>AD16+AE16</f>
        <v>207.59746575822146</v>
      </c>
      <c r="AG16" s="81"/>
      <c r="AH16" s="82"/>
      <c r="AI16" s="83"/>
      <c r="AJ16" s="83"/>
    </row>
    <row r="17" spans="2:39">
      <c r="B17" s="68" t="s">
        <v>89</v>
      </c>
      <c r="C17" s="70">
        <f>'[9] April 1 PA&amp;S Youth Models'!BV35</f>
        <v>102.69651964755489</v>
      </c>
      <c r="D17" s="70">
        <f>'[9] April 1 PA&amp;S Youth Models'!BT40</f>
        <v>104.5888898630137</v>
      </c>
      <c r="E17" s="70">
        <f t="shared" si="9"/>
        <v>207.2854095105686</v>
      </c>
      <c r="G17" s="68" t="s">
        <v>89</v>
      </c>
      <c r="H17" s="70" t="e">
        <f>C17*(#REF!+1)</f>
        <v>#REF!</v>
      </c>
      <c r="I17" s="70" t="e">
        <f>D17*(#REF!+1)</f>
        <v>#REF!</v>
      </c>
      <c r="J17" s="70" t="e">
        <f t="shared" si="10"/>
        <v>#REF!</v>
      </c>
      <c r="M17" s="71" t="s">
        <v>89</v>
      </c>
      <c r="N17" s="70">
        <v>109.80647060645902</v>
      </c>
      <c r="O17" s="70">
        <v>104.5888898630137</v>
      </c>
      <c r="P17" s="72">
        <v>214.39536046947273</v>
      </c>
      <c r="Q17" s="84">
        <f t="shared" si="11"/>
        <v>112.70960471405162</v>
      </c>
      <c r="R17" s="86">
        <f t="shared" si="11"/>
        <v>107.3540782144796</v>
      </c>
      <c r="S17" s="102">
        <f t="shared" si="12"/>
        <v>220.06368292853122</v>
      </c>
      <c r="T17" s="84">
        <f>Q17+T1</f>
        <v>115.62469046100284</v>
      </c>
      <c r="U17" s="80">
        <v>106.4488898630137</v>
      </c>
      <c r="V17" s="80">
        <f t="shared" si="13"/>
        <v>222.07358032401655</v>
      </c>
      <c r="W17" s="88">
        <f t="shared" si="14"/>
        <v>3.5813367592145706E-2</v>
      </c>
      <c r="X17" s="89">
        <v>1006127</v>
      </c>
      <c r="Y17" s="89">
        <f t="shared" si="15"/>
        <v>1042159.7960953828</v>
      </c>
      <c r="Z17" s="89">
        <f t="shared" si="16"/>
        <v>36032.796095382771</v>
      </c>
      <c r="AA17" s="80">
        <f>'[10]Sub Proc PA&amp;S Youth Models'!BQ32</f>
        <v>117.72727432220438</v>
      </c>
      <c r="AB17" s="80">
        <f>'[10]Sub Proc PA&amp;S Youth Models'!BO41</f>
        <v>108.28478910345206</v>
      </c>
      <c r="AC17" s="80">
        <f t="shared" si="17"/>
        <v>226.01206342565644</v>
      </c>
      <c r="AD17" s="80">
        <f>'[11]IFC- Acute-Adult Srvs -Rebased'!K19</f>
        <v>128.11770390815045</v>
      </c>
      <c r="AE17" s="80">
        <f>'[11]IFC- Acute-Adult Srvs -Rebased'!J27</f>
        <v>111.61953600000001</v>
      </c>
      <c r="AF17" s="80">
        <f t="shared" ref="AF17:AF18" si="18">AD17+AE17</f>
        <v>239.73723990815046</v>
      </c>
      <c r="AG17" s="81"/>
      <c r="AH17" s="82"/>
      <c r="AI17" s="83"/>
      <c r="AJ17" s="83"/>
    </row>
    <row r="18" spans="2:39">
      <c r="B18" s="68" t="s">
        <v>90</v>
      </c>
      <c r="C18" s="70">
        <f>'[9] April 1 PA&amp;S Youth Models'!CC35</f>
        <v>178.54001233701405</v>
      </c>
      <c r="D18" s="70">
        <f>'[9] April 1 PA&amp;S Youth Models'!CA40</f>
        <v>104.5888898630137</v>
      </c>
      <c r="E18" s="70">
        <f t="shared" si="9"/>
        <v>283.12890220002777</v>
      </c>
      <c r="G18" s="68" t="s">
        <v>90</v>
      </c>
      <c r="H18" s="70" t="e">
        <f>C18*(#REF!+1)</f>
        <v>#REF!</v>
      </c>
      <c r="I18" s="70" t="e">
        <f>D18*(#REF!+1)</f>
        <v>#REF!</v>
      </c>
      <c r="J18" s="70" t="e">
        <f t="shared" si="10"/>
        <v>#REF!</v>
      </c>
      <c r="M18" s="71" t="s">
        <v>90</v>
      </c>
      <c r="N18" s="70">
        <v>189.20493877537021</v>
      </c>
      <c r="O18" s="70">
        <v>104.5888898630137</v>
      </c>
      <c r="P18" s="72">
        <v>293.7938286383839</v>
      </c>
      <c r="Q18" s="84">
        <f t="shared" si="11"/>
        <v>194.20726066086607</v>
      </c>
      <c r="R18" s="86">
        <f t="shared" si="11"/>
        <v>107.3540782144796</v>
      </c>
      <c r="S18" s="102">
        <f t="shared" si="12"/>
        <v>301.56133887534565</v>
      </c>
      <c r="T18" s="84">
        <f>Q18+T1</f>
        <v>197.12234640781728</v>
      </c>
      <c r="U18" s="80">
        <v>106.4488898630137</v>
      </c>
      <c r="V18" s="80">
        <f t="shared" si="13"/>
        <v>303.57123627083098</v>
      </c>
      <c r="W18" s="88">
        <f t="shared" si="14"/>
        <v>3.3279826461166416E-2</v>
      </c>
      <c r="X18" s="89">
        <v>529829</v>
      </c>
      <c r="Y18" s="89">
        <f t="shared" si="15"/>
        <v>547461.61717409338</v>
      </c>
      <c r="Z18" s="89">
        <f t="shared" si="16"/>
        <v>17632.617174093379</v>
      </c>
      <c r="AA18" s="80">
        <f>'[10]Sub Proc PA&amp;S Youth Models'!BW31</f>
        <v>200.74893643522424</v>
      </c>
      <c r="AB18" s="80">
        <f>'[10]Sub Proc PA&amp;S Youth Models'!BU39</f>
        <v>108.28478910345206</v>
      </c>
      <c r="AC18" s="80">
        <f t="shared" si="17"/>
        <v>309.03372553867632</v>
      </c>
      <c r="AD18" s="80">
        <f>'[11]IFC- Acute-Adult Srvs -Rebased'!P20</f>
        <v>221.07731849583402</v>
      </c>
      <c r="AE18" s="80">
        <f>'[11]IFC- Acute-Adult Srvs -Rebased'!O27</f>
        <v>111.61953600000001</v>
      </c>
      <c r="AF18" s="80">
        <f t="shared" si="18"/>
        <v>332.69685449583403</v>
      </c>
      <c r="AG18" s="81"/>
      <c r="AH18" s="82"/>
      <c r="AI18" s="83"/>
      <c r="AJ18" s="83"/>
    </row>
    <row r="19" spans="2:39" ht="15.75" thickBot="1">
      <c r="B19" s="68" t="s">
        <v>91</v>
      </c>
      <c r="C19" s="70">
        <f>'[9] April 1 PA&amp;S Youth Models'!BH36</f>
        <v>109.42475061282609</v>
      </c>
      <c r="D19" s="70">
        <f>'[9] April 1 PA&amp;S Youth Models'!BD41</f>
        <v>108.88752000000001</v>
      </c>
      <c r="E19" s="70">
        <f t="shared" si="9"/>
        <v>218.3122706128261</v>
      </c>
      <c r="G19" s="68" t="s">
        <v>91</v>
      </c>
      <c r="H19" s="70" t="e">
        <f>C19*(#REF!+1)</f>
        <v>#REF!</v>
      </c>
      <c r="I19" s="70" t="e">
        <f>D19*(#REF!+1)</f>
        <v>#REF!</v>
      </c>
      <c r="J19" s="70" t="e">
        <f t="shared" si="10"/>
        <v>#REF!</v>
      </c>
      <c r="M19" s="71" t="s">
        <v>91</v>
      </c>
      <c r="N19" s="70">
        <v>115.44450909136491</v>
      </c>
      <c r="O19" s="70">
        <v>108.88752000000001</v>
      </c>
      <c r="P19" s="72">
        <v>224.33202909136492</v>
      </c>
      <c r="Q19" s="84">
        <f t="shared" si="11"/>
        <v>118.49670528733036</v>
      </c>
      <c r="R19" s="86">
        <f t="shared" si="11"/>
        <v>111.76635830030486</v>
      </c>
      <c r="S19" s="102">
        <f t="shared" si="12"/>
        <v>230.2630635876352</v>
      </c>
      <c r="T19" s="84">
        <f>Q19</f>
        <v>118.49670528733036</v>
      </c>
      <c r="U19" s="80">
        <v>110.74752000000001</v>
      </c>
      <c r="V19" s="80">
        <f t="shared" si="13"/>
        <v>229.24422528733038</v>
      </c>
      <c r="W19" s="88">
        <f t="shared" si="14"/>
        <v>2.1896989992297746E-2</v>
      </c>
      <c r="X19" s="89">
        <v>0</v>
      </c>
      <c r="Y19" s="89"/>
      <c r="Z19" s="89"/>
      <c r="AA19" s="80">
        <f>'[10]Sub Proc PA&amp;S Youth Models'!BB32</f>
        <v>120.65817667620342</v>
      </c>
      <c r="AB19" s="80">
        <f>'[10]Sub Proc PA&amp;S Youth Models'!AZ39</f>
        <v>112.66380362400001</v>
      </c>
      <c r="AC19" s="80">
        <f t="shared" si="17"/>
        <v>233.32198030020345</v>
      </c>
      <c r="AD19" s="80">
        <f>'[11]IFC-Shelter-Exploited Yth Rebas'!P19</f>
        <v>124.96252423986753</v>
      </c>
      <c r="AE19" s="80">
        <f>'[11]IFC-Shelter-Exploited Yth Rebas'!O26</f>
        <v>116.0775</v>
      </c>
      <c r="AF19" s="80">
        <f>AD19+AE19</f>
        <v>241.04002423986753</v>
      </c>
      <c r="AG19" s="81"/>
      <c r="AH19" s="82"/>
      <c r="AI19" s="83"/>
      <c r="AJ19" s="83"/>
      <c r="AM19" s="103"/>
    </row>
    <row r="20" spans="2:39" ht="30">
      <c r="B20" s="104" t="s">
        <v>92</v>
      </c>
      <c r="C20" s="50" t="s">
        <v>67</v>
      </c>
      <c r="D20" s="50" t="s">
        <v>68</v>
      </c>
      <c r="E20" s="51" t="s">
        <v>69</v>
      </c>
      <c r="G20" s="104" t="s">
        <v>92</v>
      </c>
      <c r="H20" s="50" t="s">
        <v>67</v>
      </c>
      <c r="I20" s="50" t="s">
        <v>68</v>
      </c>
      <c r="J20" s="51" t="s">
        <v>69</v>
      </c>
      <c r="M20" s="105" t="s">
        <v>92</v>
      </c>
      <c r="N20" s="50" t="s">
        <v>67</v>
      </c>
      <c r="O20" s="50" t="s">
        <v>68</v>
      </c>
      <c r="P20" s="96" t="s">
        <v>69</v>
      </c>
      <c r="Q20" s="97" t="s">
        <v>67</v>
      </c>
      <c r="R20" s="98" t="s">
        <v>68</v>
      </c>
      <c r="S20" s="99" t="s">
        <v>69</v>
      </c>
      <c r="T20" s="98" t="s">
        <v>67</v>
      </c>
      <c r="U20" s="100" t="s">
        <v>68</v>
      </c>
      <c r="V20" s="101" t="s">
        <v>69</v>
      </c>
      <c r="X20" s="35">
        <f>31786614-SUM(X5:X19)</f>
        <v>30675</v>
      </c>
      <c r="Y20" s="35">
        <f>X20*('[8]CAF Sp. 2016'!BD26+1)</f>
        <v>31486.005383003041</v>
      </c>
      <c r="Z20" s="85">
        <f>Y20-X20</f>
        <v>811.00538300304106</v>
      </c>
      <c r="AA20" s="62" t="s">
        <v>67</v>
      </c>
      <c r="AB20" s="63" t="s">
        <v>68</v>
      </c>
      <c r="AC20" s="64" t="s">
        <v>69</v>
      </c>
      <c r="AD20" s="62" t="s">
        <v>67</v>
      </c>
      <c r="AE20" s="63" t="s">
        <v>68</v>
      </c>
      <c r="AF20" s="64" t="s">
        <v>69</v>
      </c>
      <c r="AG20" s="65"/>
      <c r="AH20" s="66"/>
      <c r="AI20" s="83"/>
      <c r="AJ20" s="83"/>
    </row>
    <row r="21" spans="2:39">
      <c r="B21" s="68" t="s">
        <v>93</v>
      </c>
      <c r="C21" s="70">
        <f>'[9] April 1 PA&amp;S Youth Models'!DN36</f>
        <v>133.48413221988204</v>
      </c>
      <c r="D21" s="106" t="s">
        <v>21</v>
      </c>
      <c r="E21" s="70">
        <f>C21</f>
        <v>133.48413221988204</v>
      </c>
      <c r="G21" s="68" t="s">
        <v>93</v>
      </c>
      <c r="H21" s="70" t="e">
        <f>C21*(#REF!+1)</f>
        <v>#REF!</v>
      </c>
      <c r="I21" s="106" t="s">
        <v>21</v>
      </c>
      <c r="J21" s="70" t="e">
        <f>H21</f>
        <v>#REF!</v>
      </c>
      <c r="M21" s="71" t="s">
        <v>93</v>
      </c>
      <c r="N21" s="70">
        <v>147.57072255721084</v>
      </c>
      <c r="O21" s="106" t="s">
        <v>21</v>
      </c>
      <c r="P21" s="72">
        <v>147.57072255721084</v>
      </c>
      <c r="Q21" s="73">
        <f>N21*($Q$2+1)</f>
        <v>151.47229225134438</v>
      </c>
      <c r="R21" s="107" t="s">
        <v>21</v>
      </c>
      <c r="S21" s="75">
        <f t="shared" ref="S21" si="19">P21*($Q$2+1)</f>
        <v>151.47229225134438</v>
      </c>
      <c r="T21" s="84">
        <f>Q21</f>
        <v>151.47229225134438</v>
      </c>
      <c r="U21" s="77" t="s">
        <v>21</v>
      </c>
      <c r="V21" s="77">
        <f>T21</f>
        <v>151.47229225134438</v>
      </c>
      <c r="AA21" s="80">
        <f>'[10]Sub Proc PA&amp;S Youth Models'!DF26</f>
        <v>154.25040711644451</v>
      </c>
      <c r="AB21" s="80" t="s">
        <v>21</v>
      </c>
      <c r="AC21" s="80">
        <f t="shared" si="17"/>
        <v>154.25040711644451</v>
      </c>
      <c r="AD21" s="80">
        <f>'[11]IFC- Family Residential '!J20</f>
        <v>177.68088798413476</v>
      </c>
      <c r="AE21" s="80" t="s">
        <v>21</v>
      </c>
      <c r="AF21" s="80">
        <f>AD21</f>
        <v>177.68088798413476</v>
      </c>
      <c r="AG21" s="81"/>
      <c r="AH21" s="82"/>
      <c r="AI21" s="83"/>
      <c r="AJ21" s="108"/>
      <c r="AK21" s="109"/>
    </row>
    <row r="22" spans="2:39" ht="15.75" thickBot="1">
      <c r="M22" s="110"/>
      <c r="N22" s="44"/>
      <c r="O22" s="44"/>
      <c r="P22" s="44"/>
      <c r="X22" s="35">
        <f>SUM(X5:X21)</f>
        <v>31786614</v>
      </c>
      <c r="Y22" s="35">
        <f>SUM(Y5:Y21)</f>
        <v>32755900.708159428</v>
      </c>
      <c r="Z22" s="111"/>
    </row>
    <row r="23" spans="2:39" ht="15.75" thickTop="1">
      <c r="M23" s="110"/>
      <c r="N23" s="44"/>
      <c r="O23" s="44"/>
      <c r="P23" s="44"/>
      <c r="Y23" t="s">
        <v>94</v>
      </c>
      <c r="Z23" s="35">
        <f>SUM(Z5:Z22)</f>
        <v>969286.70815942821</v>
      </c>
    </row>
    <row r="24" spans="2:39">
      <c r="AJ24" s="112"/>
    </row>
  </sheetData>
  <mergeCells count="11">
    <mergeCell ref="AD2:AF2"/>
    <mergeCell ref="B3:E3"/>
    <mergeCell ref="G3:J3"/>
    <mergeCell ref="M3:P3"/>
    <mergeCell ref="Q3:S3"/>
    <mergeCell ref="AA2:AC2"/>
    <mergeCell ref="B1:E1"/>
    <mergeCell ref="B2:E2"/>
    <mergeCell ref="G2:J2"/>
    <mergeCell ref="M2:P2"/>
    <mergeCell ref="T2:V2"/>
  </mergeCells>
  <pageMargins left="0.7" right="0.7" top="0.75" bottom="0.75" header="0.3" footer="0.3"/>
  <pageSetup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zoomScale="70" zoomScaleNormal="70" workbookViewId="0">
      <selection activeCell="F29" sqref="F29"/>
    </sheetView>
  </sheetViews>
  <sheetFormatPr defaultColWidth="8.85546875" defaultRowHeight="15"/>
  <cols>
    <col min="1" max="1" width="5.5703125" customWidth="1"/>
    <col min="2" max="2" width="47.7109375" customWidth="1"/>
    <col min="3" max="3" width="16.140625" customWidth="1"/>
    <col min="4" max="4" width="1.7109375" customWidth="1"/>
    <col min="5" max="5" width="50.5703125" customWidth="1"/>
    <col min="6" max="6" width="65" style="26" customWidth="1"/>
    <col min="7" max="7" width="14.7109375" hidden="1" customWidth="1"/>
    <col min="8" max="8" width="0" hidden="1" customWidth="1"/>
    <col min="9" max="10" width="11" hidden="1" customWidth="1"/>
  </cols>
  <sheetData>
    <row r="1" spans="2:9" ht="91.9" customHeight="1">
      <c r="B1" s="1"/>
      <c r="C1" s="2" t="s">
        <v>0</v>
      </c>
      <c r="D1" s="1"/>
      <c r="E1" s="1"/>
      <c r="F1" s="3"/>
    </row>
    <row r="2" spans="2:9" ht="16.5" thickBot="1">
      <c r="B2" s="4" t="s">
        <v>1</v>
      </c>
      <c r="C2" s="5" t="s">
        <v>2</v>
      </c>
      <c r="D2" s="1"/>
      <c r="E2" s="4" t="s">
        <v>3</v>
      </c>
      <c r="F2" s="6" t="s">
        <v>4</v>
      </c>
      <c r="G2" s="7" t="s">
        <v>5</v>
      </c>
      <c r="I2" t="s">
        <v>6</v>
      </c>
    </row>
    <row r="3" spans="2:9" ht="31.15" customHeight="1">
      <c r="B3" s="8" t="s">
        <v>7</v>
      </c>
      <c r="C3" s="9">
        <v>15.48</v>
      </c>
      <c r="D3" s="10"/>
      <c r="E3" s="1398" t="s">
        <v>8</v>
      </c>
      <c r="F3" s="1400" t="s">
        <v>9</v>
      </c>
      <c r="G3" s="11">
        <f>G4/2080</f>
        <v>15.480288461538462</v>
      </c>
      <c r="I3" s="12" t="e">
        <f>#REF!-G3</f>
        <v>#REF!</v>
      </c>
    </row>
    <row r="4" spans="2:9" ht="16.5" thickBot="1">
      <c r="B4" s="13" t="s">
        <v>10</v>
      </c>
      <c r="C4" s="14">
        <f>C3*2080</f>
        <v>32198.400000000001</v>
      </c>
      <c r="D4" s="15"/>
      <c r="E4" s="1399"/>
      <c r="F4" s="1401"/>
      <c r="G4" s="16">
        <v>32199</v>
      </c>
      <c r="I4" s="12"/>
    </row>
    <row r="5" spans="2:9" ht="15.75">
      <c r="B5" s="8" t="s">
        <v>11</v>
      </c>
      <c r="C5" s="9">
        <v>19.96</v>
      </c>
      <c r="D5" s="10"/>
      <c r="E5" s="10" t="s">
        <v>12</v>
      </c>
      <c r="F5" s="1400" t="s">
        <v>13</v>
      </c>
      <c r="G5" s="11">
        <f>G6/2080</f>
        <v>18.400480769230768</v>
      </c>
      <c r="I5" s="12" t="e">
        <f>#REF!-G5</f>
        <v>#REF!</v>
      </c>
    </row>
    <row r="6" spans="2:9" ht="16.5" thickBot="1">
      <c r="B6" s="17" t="s">
        <v>14</v>
      </c>
      <c r="C6" s="18">
        <f>C5*2080</f>
        <v>41516.800000000003</v>
      </c>
      <c r="D6" s="19"/>
      <c r="E6" s="19"/>
      <c r="F6" s="1401"/>
      <c r="G6" s="16">
        <v>38273</v>
      </c>
      <c r="I6" s="12"/>
    </row>
    <row r="7" spans="2:9" ht="15.6" customHeight="1">
      <c r="B7" s="8" t="s">
        <v>15</v>
      </c>
      <c r="C7" s="9">
        <v>15.53</v>
      </c>
      <c r="D7" s="10"/>
      <c r="E7" s="20"/>
      <c r="F7" s="1400" t="s">
        <v>16</v>
      </c>
      <c r="G7" s="11">
        <f>G8/2080</f>
        <v>20.43028846153846</v>
      </c>
      <c r="I7" s="21" t="e">
        <f>#REF!-G7</f>
        <v>#REF!</v>
      </c>
    </row>
    <row r="8" spans="2:9" ht="16.5" thickBot="1">
      <c r="B8" s="17" t="s">
        <v>17</v>
      </c>
      <c r="C8" s="18">
        <f>C7*2080</f>
        <v>32302.399999999998</v>
      </c>
      <c r="D8" s="19"/>
      <c r="E8" s="19"/>
      <c r="F8" s="1401"/>
      <c r="G8" s="16">
        <v>42495</v>
      </c>
      <c r="I8" s="12"/>
    </row>
    <row r="9" spans="2:9" ht="15.75">
      <c r="B9" s="8" t="s">
        <v>18</v>
      </c>
      <c r="C9" s="9">
        <v>21.14</v>
      </c>
      <c r="D9" s="10"/>
      <c r="E9" s="10" t="s">
        <v>19</v>
      </c>
      <c r="F9" s="1400" t="s">
        <v>20</v>
      </c>
      <c r="G9" s="1396" t="s">
        <v>21</v>
      </c>
      <c r="I9" s="12"/>
    </row>
    <row r="10" spans="2:9" ht="16.5" thickBot="1">
      <c r="B10" s="17" t="s">
        <v>22</v>
      </c>
      <c r="C10" s="18">
        <f>C9*2080</f>
        <v>43971.200000000004</v>
      </c>
      <c r="D10" s="19"/>
      <c r="E10" s="19" t="s">
        <v>23</v>
      </c>
      <c r="F10" s="1401"/>
      <c r="G10" s="1397"/>
      <c r="I10" s="12"/>
    </row>
    <row r="11" spans="2:9" ht="31.5">
      <c r="B11" s="22" t="s">
        <v>24</v>
      </c>
      <c r="C11" s="9">
        <v>25.32</v>
      </c>
      <c r="D11" s="10"/>
      <c r="E11" s="15" t="s">
        <v>25</v>
      </c>
      <c r="F11" s="1402" t="s">
        <v>26</v>
      </c>
      <c r="G11" s="11">
        <f>G12/2080</f>
        <v>19.703365384615385</v>
      </c>
      <c r="I11" s="12" t="e">
        <f>#REF!-G11</f>
        <v>#REF!</v>
      </c>
    </row>
    <row r="12" spans="2:9" ht="32.25" thickBot="1">
      <c r="B12" s="22" t="s">
        <v>27</v>
      </c>
      <c r="C12" s="18">
        <f>C11*2080</f>
        <v>52665.599999999999</v>
      </c>
      <c r="D12" s="19"/>
      <c r="E12" s="19" t="s">
        <v>28</v>
      </c>
      <c r="F12" s="1401"/>
      <c r="G12" s="16">
        <v>40983</v>
      </c>
      <c r="I12" s="12"/>
    </row>
    <row r="13" spans="2:9" ht="15.75">
      <c r="B13" s="8" t="s">
        <v>29</v>
      </c>
      <c r="C13" s="9">
        <v>29.29</v>
      </c>
      <c r="D13" s="10"/>
      <c r="E13" s="10" t="s">
        <v>30</v>
      </c>
      <c r="F13" s="1400" t="s">
        <v>31</v>
      </c>
      <c r="G13" s="11">
        <f>G14/2080</f>
        <v>27.190865384615385</v>
      </c>
      <c r="I13" s="12" t="e">
        <f>#REF!-G13</f>
        <v>#REF!</v>
      </c>
    </row>
    <row r="14" spans="2:9" ht="16.5" thickBot="1">
      <c r="B14" s="17" t="s">
        <v>32</v>
      </c>
      <c r="C14" s="18">
        <f>C13*2080</f>
        <v>60923.199999999997</v>
      </c>
      <c r="D14" s="19"/>
      <c r="E14" s="19"/>
      <c r="F14" s="1401"/>
      <c r="G14" s="16">
        <v>56557</v>
      </c>
      <c r="I14" s="12"/>
    </row>
    <row r="15" spans="2:9" ht="15.6" customHeight="1">
      <c r="B15" s="8" t="s">
        <v>33</v>
      </c>
      <c r="C15" s="9">
        <v>40.06</v>
      </c>
      <c r="D15" s="10"/>
      <c r="E15" s="1403" t="s">
        <v>34</v>
      </c>
      <c r="F15" s="1400" t="s">
        <v>35</v>
      </c>
      <c r="G15" s="11">
        <f>G16/2080</f>
        <v>33.217788461538461</v>
      </c>
      <c r="I15" s="12" t="e">
        <f>#REF!-G15</f>
        <v>#REF!</v>
      </c>
    </row>
    <row r="16" spans="2:9" ht="16.5" thickBot="1">
      <c r="B16" s="17" t="s">
        <v>36</v>
      </c>
      <c r="C16" s="18">
        <f>C15*2080</f>
        <v>83324.800000000003</v>
      </c>
      <c r="D16" s="19"/>
      <c r="E16" s="1404"/>
      <c r="F16" s="1401"/>
      <c r="G16" s="16">
        <v>69093</v>
      </c>
      <c r="I16" s="12"/>
    </row>
    <row r="17" spans="2:9" ht="15.6" customHeight="1">
      <c r="B17" s="8" t="s">
        <v>37</v>
      </c>
      <c r="C17" s="9">
        <v>27.62</v>
      </c>
      <c r="D17" s="10"/>
      <c r="E17" s="10"/>
      <c r="F17" s="1400" t="s">
        <v>38</v>
      </c>
      <c r="G17" s="11">
        <f>G18/2080</f>
        <v>25.143750000000001</v>
      </c>
      <c r="I17" s="12" t="e">
        <f>#REF!-G17</f>
        <v>#REF!</v>
      </c>
    </row>
    <row r="18" spans="2:9" ht="16.5" thickBot="1">
      <c r="B18" s="17" t="s">
        <v>39</v>
      </c>
      <c r="C18" s="18">
        <f>C17*2080</f>
        <v>57449.599999999999</v>
      </c>
      <c r="D18" s="19"/>
      <c r="E18" s="19"/>
      <c r="F18" s="1401"/>
      <c r="G18" s="16">
        <v>52299</v>
      </c>
      <c r="I18" s="12"/>
    </row>
    <row r="19" spans="2:9" ht="15.6" customHeight="1">
      <c r="B19" s="8" t="s">
        <v>40</v>
      </c>
      <c r="C19" s="9">
        <v>41.76</v>
      </c>
      <c r="D19" s="10"/>
      <c r="E19" s="10"/>
      <c r="F19" s="1400" t="s">
        <v>41</v>
      </c>
      <c r="G19" s="23">
        <f>G20/2080</f>
        <v>33.460576923076921</v>
      </c>
      <c r="I19" s="12" t="e">
        <f>#REF!-G19</f>
        <v>#REF!</v>
      </c>
    </row>
    <row r="20" spans="2:9" ht="16.5" thickBot="1">
      <c r="B20" s="17" t="s">
        <v>42</v>
      </c>
      <c r="C20" s="18">
        <f>C19*2080</f>
        <v>86860.800000000003</v>
      </c>
      <c r="D20" s="19"/>
      <c r="E20" s="19"/>
      <c r="F20" s="1401"/>
      <c r="G20" s="16">
        <v>69598</v>
      </c>
      <c r="I20" s="12"/>
    </row>
    <row r="21" spans="2:9" ht="15.6" customHeight="1">
      <c r="B21" s="8" t="s">
        <v>43</v>
      </c>
      <c r="C21" s="9">
        <v>57.41</v>
      </c>
      <c r="D21" s="10"/>
      <c r="E21" s="10"/>
      <c r="F21" s="1400" t="s">
        <v>44</v>
      </c>
      <c r="G21" s="11">
        <f>G22/2080</f>
        <v>48.354326923076925</v>
      </c>
      <c r="I21" s="12" t="e">
        <f>#REF!-G21</f>
        <v>#REF!</v>
      </c>
    </row>
    <row r="22" spans="2:9" ht="16.5" thickBot="1">
      <c r="B22" s="17" t="s">
        <v>45</v>
      </c>
      <c r="C22" s="18">
        <f>C21*2080</f>
        <v>119412.79999999999</v>
      </c>
      <c r="D22" s="19"/>
      <c r="E22" s="19"/>
      <c r="F22" s="1401"/>
      <c r="G22" s="16">
        <v>100577</v>
      </c>
      <c r="I22" s="12"/>
    </row>
    <row r="26" spans="2:9" ht="63.75">
      <c r="B26" s="3" t="s">
        <v>46</v>
      </c>
      <c r="C26" s="24">
        <v>29640</v>
      </c>
      <c r="E26" s="25" t="s">
        <v>47</v>
      </c>
    </row>
    <row r="30" spans="2:9" ht="15.75">
      <c r="B30" s="27" t="s">
        <v>48</v>
      </c>
      <c r="C30" s="28">
        <v>0.22309999999999999</v>
      </c>
      <c r="E30" s="1" t="s">
        <v>49</v>
      </c>
    </row>
    <row r="31" spans="2:9" ht="18.75">
      <c r="B31" s="27" t="s">
        <v>50</v>
      </c>
      <c r="C31" s="28">
        <v>3.7000000000000002E-3</v>
      </c>
      <c r="E31" s="25"/>
    </row>
    <row r="32" spans="2:9" ht="18.75">
      <c r="B32" s="27" t="s">
        <v>51</v>
      </c>
      <c r="C32" s="28">
        <v>1.78E-2</v>
      </c>
      <c r="E32" s="25" t="s">
        <v>52</v>
      </c>
    </row>
  </sheetData>
  <mergeCells count="13">
    <mergeCell ref="F21:F22"/>
    <mergeCell ref="F11:F12"/>
    <mergeCell ref="F13:F14"/>
    <mergeCell ref="E15:E16"/>
    <mergeCell ref="F15:F16"/>
    <mergeCell ref="F17:F18"/>
    <mergeCell ref="F19:F20"/>
    <mergeCell ref="G9:G10"/>
    <mergeCell ref="E3:E4"/>
    <mergeCell ref="F3:F4"/>
    <mergeCell ref="F5:F6"/>
    <mergeCell ref="F7:F8"/>
    <mergeCell ref="F9:F10"/>
  </mergeCells>
  <pageMargins left="0.25" right="0.25" top="0.75" bottom="0.75" header="0.3" footer="0.3"/>
  <pageSetup scale="73" fitToHeight="0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topLeftCell="G7" zoomScale="70" zoomScaleNormal="70" workbookViewId="0">
      <selection activeCell="A4" sqref="A4:C7"/>
    </sheetView>
  </sheetViews>
  <sheetFormatPr defaultColWidth="9.140625" defaultRowHeight="20.25" customHeight="1"/>
  <cols>
    <col min="1" max="1" width="15.5703125" style="1405" customWidth="1"/>
    <col min="2" max="2" width="18.7109375" style="1405" bestFit="1" customWidth="1"/>
    <col min="3" max="3" width="17.7109375" style="1405" customWidth="1"/>
    <col min="4" max="4" width="16.85546875" style="1405" bestFit="1" customWidth="1"/>
    <col min="5" max="5" width="15.42578125" style="1405" customWidth="1"/>
    <col min="6" max="6" width="61.42578125" style="1405" customWidth="1"/>
    <col min="7" max="7" width="3.7109375" style="1405" customWidth="1"/>
    <col min="8" max="8" width="21.7109375" style="1405" customWidth="1"/>
    <col min="9" max="9" width="10.5703125" style="1405" customWidth="1"/>
    <col min="10" max="10" width="17.5703125" style="1410" customWidth="1"/>
    <col min="11" max="11" width="14" style="1410" customWidth="1"/>
    <col min="12" max="12" width="17.5703125" style="1410" customWidth="1"/>
    <col min="13" max="14" width="9.140625" style="1405"/>
    <col min="15" max="15" width="18.5703125" style="1405" customWidth="1"/>
    <col min="16" max="16" width="15" style="1410" customWidth="1"/>
    <col min="17" max="17" width="14.5703125" style="1410" customWidth="1"/>
    <col min="18" max="18" width="20" style="1410" customWidth="1"/>
    <col min="19" max="20" width="9.140625" style="1405"/>
    <col min="21" max="21" width="22.7109375" style="1405" customWidth="1"/>
    <col min="22" max="22" width="15.42578125" style="1410" customWidth="1"/>
    <col min="23" max="23" width="14" style="1410" customWidth="1"/>
    <col min="24" max="24" width="16.7109375" style="1410" customWidth="1"/>
    <col min="25" max="30" width="9.140625" style="1410"/>
    <col min="31" max="16384" width="9.140625" style="1405"/>
  </cols>
  <sheetData>
    <row r="1" spans="1:29" ht="20.25" customHeight="1" thickBot="1">
      <c r="G1" s="1406"/>
      <c r="H1" s="1406"/>
      <c r="I1" s="1407"/>
      <c r="J1" s="1408"/>
      <c r="K1" s="1409"/>
      <c r="L1" s="1409"/>
      <c r="M1" s="1406"/>
      <c r="N1" s="1406"/>
      <c r="O1" s="1406"/>
      <c r="P1" s="1409"/>
      <c r="Q1" s="1409"/>
      <c r="R1" s="1409"/>
      <c r="S1" s="1406"/>
      <c r="T1" s="1406"/>
      <c r="U1" s="1406"/>
      <c r="V1" s="1409"/>
      <c r="W1" s="1409"/>
      <c r="X1" s="1409"/>
      <c r="Y1" s="1409"/>
      <c r="Z1" s="1409"/>
      <c r="AA1" s="1409"/>
      <c r="AB1" s="1409"/>
      <c r="AC1" s="1409"/>
    </row>
    <row r="2" spans="1:29" ht="20.25" customHeight="1">
      <c r="A2" s="1411" t="s">
        <v>393</v>
      </c>
      <c r="B2" s="1412"/>
      <c r="C2" s="1412"/>
      <c r="D2" s="1412"/>
      <c r="E2" s="1412"/>
      <c r="F2" s="1413"/>
      <c r="G2" s="1406"/>
      <c r="H2" s="1414" t="s">
        <v>394</v>
      </c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  <c r="U2" s="1414"/>
      <c r="V2" s="1414"/>
      <c r="W2" s="1414"/>
      <c r="X2" s="1414"/>
      <c r="Y2" s="1409"/>
      <c r="Z2" s="1409"/>
      <c r="AA2" s="1409"/>
      <c r="AB2" s="1409"/>
      <c r="AC2" s="1409"/>
    </row>
    <row r="3" spans="1:29" ht="20.25" customHeight="1">
      <c r="A3" s="1415"/>
      <c r="B3" s="1416" t="s">
        <v>395</v>
      </c>
      <c r="C3" s="1417" t="s">
        <v>396</v>
      </c>
      <c r="D3" s="1418"/>
      <c r="E3" s="1419"/>
      <c r="F3" s="1420"/>
      <c r="G3" s="1406"/>
      <c r="H3" s="1406"/>
      <c r="I3" s="1406"/>
      <c r="K3" s="1421"/>
      <c r="L3" s="1421"/>
      <c r="M3" s="1422"/>
      <c r="N3" s="1422"/>
      <c r="O3" s="1422"/>
      <c r="Q3" s="1421"/>
      <c r="R3" s="1421"/>
      <c r="S3" s="1422"/>
      <c r="T3" s="1422"/>
      <c r="U3" s="1422"/>
      <c r="W3" s="1421"/>
      <c r="X3" s="1421"/>
      <c r="Y3" s="1409"/>
      <c r="Z3" s="1409"/>
      <c r="AA3" s="1409"/>
      <c r="AB3" s="1409"/>
      <c r="AC3" s="1409"/>
    </row>
    <row r="4" spans="1:29" ht="15">
      <c r="A4" s="1423" t="s">
        <v>397</v>
      </c>
      <c r="B4" s="1424">
        <v>15</v>
      </c>
      <c r="C4" s="1424">
        <f>B4*8</f>
        <v>120</v>
      </c>
      <c r="D4" s="1418"/>
      <c r="E4" s="1425"/>
      <c r="F4" s="1420"/>
      <c r="G4" s="1406"/>
      <c r="H4" s="1426" t="s">
        <v>398</v>
      </c>
      <c r="I4" s="1426"/>
      <c r="J4" s="1426"/>
      <c r="K4" s="1426"/>
      <c r="L4" s="1426"/>
      <c r="M4" s="1427"/>
      <c r="N4" s="1426" t="s">
        <v>399</v>
      </c>
      <c r="O4" s="1426"/>
      <c r="P4" s="1426"/>
      <c r="Q4" s="1426"/>
      <c r="R4" s="1426"/>
      <c r="S4" s="1427"/>
      <c r="T4" s="1426" t="s">
        <v>400</v>
      </c>
      <c r="U4" s="1426"/>
      <c r="V4" s="1426"/>
      <c r="W4" s="1426"/>
      <c r="X4" s="1426"/>
      <c r="Y4" s="1409"/>
      <c r="Z4" s="1409"/>
      <c r="AA4" s="1409"/>
      <c r="AB4" s="1409"/>
      <c r="AC4" s="1409"/>
    </row>
    <row r="5" spans="1:29" ht="15.75" thickBot="1">
      <c r="A5" s="1423" t="s">
        <v>401</v>
      </c>
      <c r="B5" s="1416">
        <v>8</v>
      </c>
      <c r="C5" s="1424">
        <f>B5*8</f>
        <v>64</v>
      </c>
      <c r="D5" s="1418"/>
      <c r="E5" s="1425"/>
      <c r="F5" s="1420"/>
      <c r="G5" s="1428"/>
      <c r="H5" s="1429" t="s">
        <v>402</v>
      </c>
      <c r="I5" s="1429"/>
      <c r="J5" s="1429"/>
      <c r="K5" s="1429"/>
      <c r="L5" s="1429"/>
      <c r="M5" s="1427"/>
      <c r="N5" s="1429" t="s">
        <v>402</v>
      </c>
      <c r="O5" s="1429"/>
      <c r="P5" s="1429"/>
      <c r="Q5" s="1429"/>
      <c r="R5" s="1429"/>
      <c r="S5" s="1427"/>
      <c r="T5" s="1430" t="s">
        <v>402</v>
      </c>
      <c r="U5" s="1429"/>
      <c r="V5" s="1429"/>
      <c r="W5" s="1429"/>
      <c r="X5" s="1431"/>
      <c r="Y5" s="1409"/>
      <c r="Z5" s="1409"/>
      <c r="AA5" s="1409"/>
      <c r="AB5" s="1409"/>
      <c r="AC5" s="1409"/>
    </row>
    <row r="6" spans="1:29" ht="15">
      <c r="A6" s="1423" t="s">
        <v>403</v>
      </c>
      <c r="B6" s="1424">
        <v>10</v>
      </c>
      <c r="C6" s="1424">
        <f>B6*8</f>
        <v>80</v>
      </c>
      <c r="D6" s="1418"/>
      <c r="E6" s="1419"/>
      <c r="F6" s="1420"/>
      <c r="G6" s="1428"/>
      <c r="H6" s="1432" t="s">
        <v>404</v>
      </c>
      <c r="I6" s="1433"/>
      <c r="J6" s="1434">
        <v>15</v>
      </c>
      <c r="K6" s="1435" t="s">
        <v>405</v>
      </c>
      <c r="L6" s="1436">
        <f>J6*365</f>
        <v>5475</v>
      </c>
      <c r="M6" s="1427"/>
      <c r="N6" s="1432" t="s">
        <v>406</v>
      </c>
      <c r="O6" s="1433"/>
      <c r="P6" s="1434">
        <v>11</v>
      </c>
      <c r="Q6" s="1435" t="s">
        <v>405</v>
      </c>
      <c r="R6" s="1436">
        <f>P6*365</f>
        <v>4015</v>
      </c>
      <c r="S6" s="1427"/>
      <c r="T6" s="1437" t="s">
        <v>407</v>
      </c>
      <c r="U6" s="1433"/>
      <c r="V6" s="1434">
        <v>8</v>
      </c>
      <c r="W6" s="1435" t="s">
        <v>405</v>
      </c>
      <c r="X6" s="1438">
        <f>V6*365</f>
        <v>2920</v>
      </c>
      <c r="Y6" s="1409"/>
      <c r="Z6" s="1409"/>
      <c r="AA6" s="1409"/>
      <c r="AB6" s="1409"/>
      <c r="AC6" s="1409"/>
    </row>
    <row r="7" spans="1:29" ht="15.75" thickBot="1">
      <c r="A7" s="1439" t="s">
        <v>408</v>
      </c>
      <c r="B7" s="1424">
        <v>10</v>
      </c>
      <c r="C7" s="1440">
        <f>B7*8</f>
        <v>80</v>
      </c>
      <c r="D7" s="1441"/>
      <c r="E7" s="1433"/>
      <c r="F7" s="1420"/>
      <c r="G7" s="1428"/>
      <c r="H7" s="1432"/>
      <c r="I7" s="1442"/>
      <c r="J7" s="1443" t="s">
        <v>409</v>
      </c>
      <c r="K7" s="1435"/>
      <c r="L7" s="1435"/>
      <c r="M7" s="1427"/>
      <c r="N7" s="1432"/>
      <c r="O7" s="1422"/>
      <c r="P7" s="1443" t="s">
        <v>409</v>
      </c>
      <c r="Q7" s="1435"/>
      <c r="R7" s="1435"/>
      <c r="S7" s="1427"/>
      <c r="T7" s="1437"/>
      <c r="U7" s="1422"/>
      <c r="V7" s="1443" t="s">
        <v>409</v>
      </c>
      <c r="W7" s="1435"/>
      <c r="X7" s="1444"/>
      <c r="Y7" s="1409"/>
      <c r="Z7" s="1409"/>
      <c r="AA7" s="1409"/>
      <c r="AB7" s="1409"/>
      <c r="AC7" s="1409"/>
    </row>
    <row r="8" spans="1:29" ht="15.75" thickTop="1">
      <c r="A8" s="1423"/>
      <c r="B8" s="1445" t="s">
        <v>410</v>
      </c>
      <c r="C8" s="1424">
        <f>SUM(C4:C7)</f>
        <v>344</v>
      </c>
      <c r="D8" s="1446"/>
      <c r="E8" s="1435"/>
      <c r="F8" s="1420"/>
      <c r="G8" s="1428"/>
      <c r="H8" s="1447"/>
      <c r="I8" s="1447"/>
      <c r="J8" s="1448" t="s">
        <v>183</v>
      </c>
      <c r="K8" s="1448" t="s">
        <v>411</v>
      </c>
      <c r="L8" s="1448" t="s">
        <v>185</v>
      </c>
      <c r="M8" s="1427"/>
      <c r="N8" s="1447"/>
      <c r="O8" s="1447"/>
      <c r="P8" s="1448" t="s">
        <v>183</v>
      </c>
      <c r="Q8" s="1448" t="s">
        <v>411</v>
      </c>
      <c r="R8" s="1448" t="s">
        <v>185</v>
      </c>
      <c r="S8" s="1427"/>
      <c r="T8" s="1449"/>
      <c r="U8" s="1447"/>
      <c r="V8" s="1448" t="s">
        <v>183</v>
      </c>
      <c r="W8" s="1448" t="s">
        <v>411</v>
      </c>
      <c r="X8" s="1450" t="s">
        <v>185</v>
      </c>
      <c r="Y8" s="1409"/>
      <c r="Z8" s="1409"/>
      <c r="AA8" s="1409"/>
      <c r="AB8" s="1409"/>
      <c r="AC8" s="1409"/>
    </row>
    <row r="9" spans="1:29" ht="15.75" thickBot="1">
      <c r="A9" s="1451"/>
      <c r="B9" s="1452"/>
      <c r="C9" s="1453"/>
      <c r="D9" s="1454"/>
      <c r="E9" s="1455"/>
      <c r="F9" s="1456"/>
      <c r="G9" s="1428"/>
      <c r="H9" s="1457" t="s">
        <v>189</v>
      </c>
      <c r="I9" s="1432"/>
      <c r="J9" s="1458">
        <f>+C12</f>
        <v>55812.745044719995</v>
      </c>
      <c r="K9" s="1459">
        <f>C17</f>
        <v>0.55000000000000004</v>
      </c>
      <c r="L9" s="1458">
        <f>J9*K9</f>
        <v>30697.009774596001</v>
      </c>
      <c r="M9" s="1427"/>
      <c r="N9" s="1457" t="s">
        <v>189</v>
      </c>
      <c r="O9" s="1432"/>
      <c r="P9" s="1458">
        <f>+D12</f>
        <v>55812.745044719995</v>
      </c>
      <c r="Q9" s="1459">
        <f>D17</f>
        <v>0.5</v>
      </c>
      <c r="R9" s="1458">
        <f>P9*Q9</f>
        <v>27906.372522359998</v>
      </c>
      <c r="S9" s="1427"/>
      <c r="T9" s="1460" t="s">
        <v>189</v>
      </c>
      <c r="U9" s="1432"/>
      <c r="V9" s="1458">
        <f>+E12</f>
        <v>55812.745044719995</v>
      </c>
      <c r="W9" s="1459">
        <f>E17</f>
        <v>0.45</v>
      </c>
      <c r="X9" s="1461">
        <f>V9*W9</f>
        <v>25115.735270123998</v>
      </c>
      <c r="Y9" s="1409"/>
      <c r="Z9" s="1409"/>
      <c r="AA9" s="1409"/>
      <c r="AB9" s="1409"/>
      <c r="AC9" s="1409"/>
    </row>
    <row r="10" spans="1:29" ht="30" customHeight="1" thickBot="1">
      <c r="A10" s="1462" t="s">
        <v>393</v>
      </c>
      <c r="B10" s="1463"/>
      <c r="C10" s="1463"/>
      <c r="D10" s="1463"/>
      <c r="E10" s="1463"/>
      <c r="F10" s="1464"/>
      <c r="G10" s="1406"/>
      <c r="H10" s="1465" t="s">
        <v>412</v>
      </c>
      <c r="I10" s="1466"/>
      <c r="J10" s="1467">
        <f>+D13</f>
        <v>43971.200000000004</v>
      </c>
      <c r="K10" s="1468">
        <f>C18</f>
        <v>1</v>
      </c>
      <c r="L10" s="1467">
        <f>J10*K10</f>
        <v>43971.200000000004</v>
      </c>
      <c r="M10" s="1469"/>
      <c r="N10" s="1470" t="s">
        <v>412</v>
      </c>
      <c r="O10" s="1471"/>
      <c r="P10" s="1467">
        <f>+D13</f>
        <v>43971.200000000004</v>
      </c>
      <c r="Q10" s="1468">
        <f>D18</f>
        <v>1</v>
      </c>
      <c r="R10" s="1467">
        <f>P10*Q10</f>
        <v>43971.200000000004</v>
      </c>
      <c r="S10" s="1469"/>
      <c r="T10" s="1470" t="s">
        <v>412</v>
      </c>
      <c r="U10" s="1471"/>
      <c r="V10" s="1467">
        <f>+E13</f>
        <v>43971.200000000004</v>
      </c>
      <c r="W10" s="1468">
        <f>E18</f>
        <v>1</v>
      </c>
      <c r="X10" s="1472">
        <f>V10*W10</f>
        <v>43971.200000000004</v>
      </c>
      <c r="Y10" s="1409"/>
      <c r="Z10" s="1409"/>
      <c r="AA10" s="1409"/>
      <c r="AB10" s="1409"/>
      <c r="AC10" s="1409"/>
    </row>
    <row r="11" spans="1:29" ht="32.25" customHeight="1">
      <c r="A11" s="1473" t="s">
        <v>302</v>
      </c>
      <c r="B11" s="1474"/>
      <c r="C11" s="1475" t="s">
        <v>413</v>
      </c>
      <c r="D11" s="1475" t="s">
        <v>414</v>
      </c>
      <c r="E11" s="1475" t="s">
        <v>415</v>
      </c>
      <c r="F11" s="1476"/>
      <c r="G11" s="1428"/>
      <c r="H11" s="1457" t="s">
        <v>416</v>
      </c>
      <c r="I11" s="1432"/>
      <c r="J11" s="1467">
        <f>C14</f>
        <v>49798</v>
      </c>
      <c r="K11" s="1468">
        <f>C19</f>
        <v>0.2</v>
      </c>
      <c r="L11" s="1467">
        <f>J11*K11</f>
        <v>9959.6</v>
      </c>
      <c r="M11" s="1469"/>
      <c r="N11" s="1477" t="s">
        <v>416</v>
      </c>
      <c r="O11" s="1478"/>
      <c r="P11" s="1467">
        <f>J11</f>
        <v>49798</v>
      </c>
      <c r="Q11" s="1468">
        <f>D19</f>
        <v>0.2</v>
      </c>
      <c r="R11" s="1467">
        <f>P11*Q11</f>
        <v>9959.6</v>
      </c>
      <c r="S11" s="1469"/>
      <c r="T11" s="1477" t="s">
        <v>416</v>
      </c>
      <c r="U11" s="1478"/>
      <c r="V11" s="1467">
        <f>P11</f>
        <v>49798</v>
      </c>
      <c r="W11" s="1468">
        <f>E19</f>
        <v>0.2</v>
      </c>
      <c r="X11" s="1472">
        <f>V11*W11</f>
        <v>9959.6</v>
      </c>
      <c r="Y11" s="1409"/>
      <c r="Z11" s="1409"/>
      <c r="AA11" s="1409"/>
      <c r="AB11" s="1409"/>
      <c r="AC11" s="1409"/>
    </row>
    <row r="12" spans="1:29" ht="15.75">
      <c r="A12" s="1479" t="s">
        <v>189</v>
      </c>
      <c r="B12" s="1480"/>
      <c r="C12" s="1481">
        <f>53379*(2.64%+1)*(1.87%+1)</f>
        <v>55812.745044719995</v>
      </c>
      <c r="D12" s="1481">
        <f>53379*(2.64%+1)*(1.87%+1)</f>
        <v>55812.745044719995</v>
      </c>
      <c r="E12" s="1481">
        <f>53379*(2.64%+1)*(1.87%+1)</f>
        <v>55812.745044719995</v>
      </c>
      <c r="F12" s="1482" t="s">
        <v>417</v>
      </c>
      <c r="G12" s="1428"/>
      <c r="H12" s="1435" t="s">
        <v>418</v>
      </c>
      <c r="I12" s="1483"/>
      <c r="J12" s="1484">
        <f>C15</f>
        <v>29640</v>
      </c>
      <c r="K12" s="1485">
        <v>1.9</v>
      </c>
      <c r="L12" s="1484">
        <f>J12*K12</f>
        <v>56316</v>
      </c>
      <c r="M12" s="1469"/>
      <c r="N12" s="1486" t="s">
        <v>418</v>
      </c>
      <c r="O12" s="1487"/>
      <c r="P12" s="1484">
        <f>D15</f>
        <v>29640</v>
      </c>
      <c r="Q12" s="1468">
        <v>2.15</v>
      </c>
      <c r="R12" s="1484">
        <f>P12*Q12</f>
        <v>63726</v>
      </c>
      <c r="S12" s="1469"/>
      <c r="T12" s="1488" t="s">
        <v>418</v>
      </c>
      <c r="U12" s="1487"/>
      <c r="V12" s="1484">
        <f>E15</f>
        <v>29640</v>
      </c>
      <c r="W12" s="1468">
        <v>2.58</v>
      </c>
      <c r="X12" s="1489">
        <f>V12*W12</f>
        <v>76471.199999999997</v>
      </c>
      <c r="Y12" s="1409"/>
      <c r="Z12" s="1409"/>
      <c r="AA12" s="1409"/>
      <c r="AB12" s="1409"/>
      <c r="AC12" s="1409"/>
    </row>
    <row r="13" spans="1:29" s="1410" customFormat="1" ht="27" customHeight="1">
      <c r="A13" s="1490" t="s">
        <v>412</v>
      </c>
      <c r="B13" s="1491"/>
      <c r="C13" s="1481">
        <f>[16]Chart!C10</f>
        <v>43971.200000000004</v>
      </c>
      <c r="D13" s="1481">
        <f>[16]Chart!C10</f>
        <v>43971.200000000004</v>
      </c>
      <c r="E13" s="1481">
        <f>[16]Chart!C10</f>
        <v>43971.200000000004</v>
      </c>
      <c r="F13" s="1482" t="s">
        <v>419</v>
      </c>
      <c r="G13" s="1492"/>
      <c r="H13" s="1493" t="s">
        <v>196</v>
      </c>
      <c r="I13" s="1493"/>
      <c r="J13" s="1494"/>
      <c r="K13" s="1495">
        <f>SUM(K9:K12)</f>
        <v>3.65</v>
      </c>
      <c r="L13" s="1496">
        <f>SUM(L9:L12)</f>
        <v>140943.80977459601</v>
      </c>
      <c r="M13" s="1427"/>
      <c r="N13" s="1493" t="s">
        <v>196</v>
      </c>
      <c r="O13" s="1493"/>
      <c r="P13" s="1494"/>
      <c r="Q13" s="1495">
        <f>SUM(Q9:Q12)</f>
        <v>3.8499999999999996</v>
      </c>
      <c r="R13" s="1496">
        <f>SUM(R9:R12)</f>
        <v>145563.17252235999</v>
      </c>
      <c r="S13" s="1427"/>
      <c r="T13" s="1497" t="s">
        <v>196</v>
      </c>
      <c r="U13" s="1493"/>
      <c r="V13" s="1494"/>
      <c r="W13" s="1495">
        <f>SUM(W9:W12)</f>
        <v>4.2300000000000004</v>
      </c>
      <c r="X13" s="1498">
        <f>SUM(X9:X12)</f>
        <v>155517.73527012399</v>
      </c>
      <c r="Y13" s="1409"/>
      <c r="Z13" s="1409"/>
      <c r="AA13" s="1409"/>
      <c r="AB13" s="1409"/>
      <c r="AC13" s="1409"/>
    </row>
    <row r="14" spans="1:29" ht="15.75">
      <c r="A14" s="1499" t="s">
        <v>420</v>
      </c>
      <c r="B14" s="1500"/>
      <c r="C14" s="1481">
        <v>49798</v>
      </c>
      <c r="D14" s="1481">
        <v>49798</v>
      </c>
      <c r="E14" s="1481">
        <v>49798</v>
      </c>
      <c r="F14" s="1482" t="s">
        <v>417</v>
      </c>
      <c r="G14" s="1428"/>
      <c r="H14" s="1432" t="s">
        <v>421</v>
      </c>
      <c r="I14" s="1432"/>
      <c r="J14" s="1435"/>
      <c r="K14" s="1435" t="s">
        <v>422</v>
      </c>
      <c r="L14" s="1435"/>
      <c r="M14" s="1427"/>
      <c r="N14" s="1432" t="s">
        <v>421</v>
      </c>
      <c r="O14" s="1432"/>
      <c r="P14" s="1435"/>
      <c r="Q14" s="1435" t="s">
        <v>422</v>
      </c>
      <c r="R14" s="1435"/>
      <c r="S14" s="1427"/>
      <c r="T14" s="1437" t="s">
        <v>421</v>
      </c>
      <c r="U14" s="1432"/>
      <c r="V14" s="1435"/>
      <c r="W14" s="1435" t="s">
        <v>422</v>
      </c>
      <c r="X14" s="1444"/>
      <c r="Y14" s="1409"/>
      <c r="Z14" s="1409"/>
      <c r="AA14" s="1409"/>
      <c r="AB14" s="1409"/>
      <c r="AC14" s="1409"/>
    </row>
    <row r="15" spans="1:29" ht="31.5">
      <c r="A15" s="1501" t="s">
        <v>418</v>
      </c>
      <c r="B15" s="1502"/>
      <c r="C15" s="1503">
        <f>[16]Chart!C26</f>
        <v>29640</v>
      </c>
      <c r="D15" s="1504">
        <f>[16]Chart!C26</f>
        <v>29640</v>
      </c>
      <c r="E15" s="1504">
        <f>[16]Chart!C26</f>
        <v>29640</v>
      </c>
      <c r="F15" s="1505" t="s">
        <v>423</v>
      </c>
      <c r="G15" s="1428"/>
      <c r="H15" s="1432" t="s">
        <v>199</v>
      </c>
      <c r="I15" s="1432"/>
      <c r="J15" s="1506">
        <f>$E$22</f>
        <v>0.22309999999999999</v>
      </c>
      <c r="K15" s="1435"/>
      <c r="L15" s="1458">
        <f>J15*L13</f>
        <v>31444.56396071237</v>
      </c>
      <c r="M15" s="1427"/>
      <c r="N15" s="1432" t="s">
        <v>199</v>
      </c>
      <c r="O15" s="1432"/>
      <c r="P15" s="1506">
        <f>$E$22</f>
        <v>0.22309999999999999</v>
      </c>
      <c r="Q15" s="1435"/>
      <c r="R15" s="1458">
        <f>P15*R13</f>
        <v>32475.143789738515</v>
      </c>
      <c r="S15" s="1427"/>
      <c r="T15" s="1437" t="s">
        <v>199</v>
      </c>
      <c r="U15" s="1432"/>
      <c r="V15" s="1506">
        <f>$E$22</f>
        <v>0.22309999999999999</v>
      </c>
      <c r="W15" s="1435"/>
      <c r="X15" s="1461">
        <f>V15*X13</f>
        <v>34696.006738764663</v>
      </c>
      <c r="Y15" s="1409"/>
      <c r="Z15" s="1409"/>
      <c r="AA15" s="1409"/>
      <c r="AB15" s="1409"/>
      <c r="AC15" s="1409"/>
    </row>
    <row r="16" spans="1:29" ht="24.75" customHeight="1">
      <c r="A16" s="1507" t="s">
        <v>312</v>
      </c>
      <c r="B16" s="1508"/>
      <c r="C16" s="1509" t="s">
        <v>424</v>
      </c>
      <c r="D16" s="1509" t="s">
        <v>425</v>
      </c>
      <c r="E16" s="1509" t="s">
        <v>426</v>
      </c>
      <c r="F16" s="1510"/>
      <c r="G16" s="1428"/>
      <c r="H16" s="1493" t="s">
        <v>329</v>
      </c>
      <c r="I16" s="1493"/>
      <c r="J16" s="1494"/>
      <c r="K16" s="1511"/>
      <c r="L16" s="1496">
        <f>L15+L13</f>
        <v>172388.37373530839</v>
      </c>
      <c r="M16" s="1512"/>
      <c r="N16" s="1493" t="s">
        <v>329</v>
      </c>
      <c r="O16" s="1493"/>
      <c r="P16" s="1494"/>
      <c r="Q16" s="1511"/>
      <c r="R16" s="1496">
        <f>R15+R13</f>
        <v>178038.3163120985</v>
      </c>
      <c r="S16" s="1512"/>
      <c r="T16" s="1497" t="s">
        <v>329</v>
      </c>
      <c r="U16" s="1493"/>
      <c r="V16" s="1494"/>
      <c r="W16" s="1511"/>
      <c r="X16" s="1498">
        <f>X15+X13</f>
        <v>190213.74200888866</v>
      </c>
      <c r="Y16" s="1409"/>
      <c r="Z16" s="1409"/>
      <c r="AA16" s="1409"/>
      <c r="AB16" s="1409"/>
      <c r="AC16" s="1409"/>
    </row>
    <row r="17" spans="1:29" ht="20.25" customHeight="1">
      <c r="A17" s="1479" t="s">
        <v>189</v>
      </c>
      <c r="B17" s="1480"/>
      <c r="C17" s="1513">
        <v>0.55000000000000004</v>
      </c>
      <c r="D17" s="1513">
        <v>0.5</v>
      </c>
      <c r="E17" s="1513">
        <v>0.45</v>
      </c>
      <c r="F17" s="1514" t="s">
        <v>427</v>
      </c>
      <c r="G17" s="1428"/>
      <c r="H17" s="1515" t="str">
        <f>A23</f>
        <v>PFLMA</v>
      </c>
      <c r="I17" s="1483"/>
      <c r="J17" s="1516">
        <f>C23</f>
        <v>3.7000000000000002E-3</v>
      </c>
      <c r="K17" s="1443"/>
      <c r="L17" s="1517">
        <f>L13*J17</f>
        <v>521.49209616600524</v>
      </c>
      <c r="M17" s="1427"/>
      <c r="N17" s="1515" t="str">
        <f>A23</f>
        <v>PFLMA</v>
      </c>
      <c r="O17" s="1483"/>
      <c r="P17" s="1516">
        <f>D23</f>
        <v>3.7000000000000002E-3</v>
      </c>
      <c r="Q17" s="1443"/>
      <c r="R17" s="1517">
        <f>R13*P17</f>
        <v>538.58373833273197</v>
      </c>
      <c r="S17" s="1427"/>
      <c r="T17" s="1518" t="str">
        <f>A23</f>
        <v>PFLMA</v>
      </c>
      <c r="U17" s="1483"/>
      <c r="V17" s="1516">
        <f>E23</f>
        <v>3.7000000000000002E-3</v>
      </c>
      <c r="W17" s="1443"/>
      <c r="X17" s="1519">
        <f>X13*V17</f>
        <v>575.41562049945878</v>
      </c>
      <c r="Y17" s="1409"/>
      <c r="Z17" s="1409"/>
      <c r="AA17" s="1409"/>
      <c r="AB17" s="1409"/>
      <c r="AC17" s="1409"/>
    </row>
    <row r="18" spans="1:29" ht="20.25" customHeight="1">
      <c r="A18" s="1520" t="s">
        <v>412</v>
      </c>
      <c r="B18" s="1521"/>
      <c r="C18" s="1513">
        <v>1</v>
      </c>
      <c r="D18" s="1513">
        <v>1</v>
      </c>
      <c r="E18" s="1513">
        <v>1</v>
      </c>
      <c r="F18" s="1514" t="s">
        <v>427</v>
      </c>
      <c r="G18" s="1428"/>
      <c r="H18" s="1465" t="s">
        <v>428</v>
      </c>
      <c r="I18" s="1466"/>
      <c r="J18" s="1435"/>
      <c r="K18" s="1522">
        <f>+C28</f>
        <v>488.4047394198264</v>
      </c>
      <c r="L18" s="1523">
        <f>K18*J6</f>
        <v>7326.0710912973964</v>
      </c>
      <c r="M18" s="1427"/>
      <c r="N18" s="1465" t="s">
        <v>428</v>
      </c>
      <c r="O18" s="1466"/>
      <c r="P18" s="1435"/>
      <c r="Q18" s="1522">
        <f>+D28</f>
        <v>1159.6070479277817</v>
      </c>
      <c r="R18" s="1523">
        <f>Q18*P6</f>
        <v>12755.677527205598</v>
      </c>
      <c r="S18" s="1427"/>
      <c r="T18" s="1465" t="s">
        <v>428</v>
      </c>
      <c r="U18" s="1466"/>
      <c r="V18" s="1435"/>
      <c r="W18" s="1522">
        <f>+E28</f>
        <v>4638.4177353806672</v>
      </c>
      <c r="X18" s="1524">
        <f>W18*V6</f>
        <v>37107.341883045337</v>
      </c>
      <c r="Y18" s="1409"/>
      <c r="Z18" s="1409"/>
      <c r="AA18" s="1409"/>
      <c r="AB18" s="1409"/>
      <c r="AC18" s="1409"/>
    </row>
    <row r="19" spans="1:29" ht="20.25" customHeight="1">
      <c r="A19" s="1479" t="s">
        <v>420</v>
      </c>
      <c r="B19" s="1480"/>
      <c r="C19" s="1513">
        <v>0.2</v>
      </c>
      <c r="D19" s="1513">
        <v>0.2</v>
      </c>
      <c r="E19" s="1513">
        <v>0.2</v>
      </c>
      <c r="F19" s="1514" t="s">
        <v>427</v>
      </c>
      <c r="G19" s="1428"/>
      <c r="H19" s="1525" t="str">
        <f>A25</f>
        <v>Direct Amin Expenses</v>
      </c>
      <c r="I19" s="1526"/>
      <c r="J19" s="1435"/>
      <c r="K19" s="1522">
        <f>C25</f>
        <v>1473.2</v>
      </c>
      <c r="L19" s="1523">
        <f>K13*K19</f>
        <v>5377.18</v>
      </c>
      <c r="M19" s="1427"/>
      <c r="N19" s="1525" t="str">
        <f>A25</f>
        <v>Direct Amin Expenses</v>
      </c>
      <c r="O19" s="1526"/>
      <c r="P19" s="1435"/>
      <c r="Q19" s="1522">
        <f>D25</f>
        <v>1473.2</v>
      </c>
      <c r="R19" s="1523">
        <f>Q19*Q13</f>
        <v>5671.82</v>
      </c>
      <c r="S19" s="1427"/>
      <c r="T19" s="1525" t="str">
        <f>A25</f>
        <v>Direct Amin Expenses</v>
      </c>
      <c r="U19" s="1526"/>
      <c r="V19" s="1435"/>
      <c r="W19" s="1522">
        <f>E25</f>
        <v>1473.2</v>
      </c>
      <c r="X19" s="1524">
        <f>W19*W13</f>
        <v>6231.6360000000004</v>
      </c>
      <c r="Y19" s="1409"/>
      <c r="Z19" s="1409"/>
      <c r="AA19" s="1409"/>
      <c r="AB19" s="1409"/>
      <c r="AC19" s="1409"/>
    </row>
    <row r="20" spans="1:29" ht="20.25" customHeight="1">
      <c r="A20" s="1527" t="s">
        <v>418</v>
      </c>
      <c r="B20" s="1528"/>
      <c r="C20" s="1529">
        <v>1.94</v>
      </c>
      <c r="D20" s="1529">
        <v>2.14</v>
      </c>
      <c r="E20" s="1529">
        <v>2.58</v>
      </c>
      <c r="F20" s="1514" t="s">
        <v>427</v>
      </c>
      <c r="G20" s="1428"/>
      <c r="H20" s="1530" t="s">
        <v>429</v>
      </c>
      <c r="I20" s="1531"/>
      <c r="J20" s="1486"/>
      <c r="K20" s="1484"/>
      <c r="L20" s="1532">
        <f>C33</f>
        <v>11034.9</v>
      </c>
      <c r="M20" s="1469"/>
      <c r="N20" s="1530" t="s">
        <v>429</v>
      </c>
      <c r="O20" s="1531"/>
      <c r="P20" s="1486"/>
      <c r="Q20" s="1484"/>
      <c r="R20" s="1532">
        <f>D33</f>
        <v>10789.68</v>
      </c>
      <c r="S20" s="1469"/>
      <c r="T20" s="1533" t="s">
        <v>429</v>
      </c>
      <c r="U20" s="1534"/>
      <c r="V20" s="1486"/>
      <c r="W20" s="1484"/>
      <c r="X20" s="1489">
        <f>E33</f>
        <v>13732.32</v>
      </c>
      <c r="Y20" s="1409"/>
      <c r="Z20" s="1409"/>
      <c r="AA20" s="1409"/>
      <c r="AB20" s="1409"/>
      <c r="AC20" s="1409"/>
    </row>
    <row r="21" spans="1:29" ht="20.25" customHeight="1">
      <c r="A21" s="1535" t="s">
        <v>201</v>
      </c>
      <c r="B21" s="1536"/>
      <c r="C21" s="1509" t="s">
        <v>424</v>
      </c>
      <c r="D21" s="1509" t="s">
        <v>425</v>
      </c>
      <c r="E21" s="1509" t="s">
        <v>426</v>
      </c>
      <c r="F21" s="1510"/>
      <c r="G21" s="1428"/>
      <c r="H21" s="1537" t="s">
        <v>430</v>
      </c>
      <c r="I21" s="1538"/>
      <c r="J21" s="1435"/>
      <c r="K21" s="1539">
        <f>+C30</f>
        <v>618.82203131349468</v>
      </c>
      <c r="L21" s="1435"/>
      <c r="M21" s="1427"/>
      <c r="N21" s="1537" t="s">
        <v>430</v>
      </c>
      <c r="O21" s="1538"/>
      <c r="P21" s="1435"/>
      <c r="Q21" s="1539">
        <f>+D30</f>
        <v>618.82203131349468</v>
      </c>
      <c r="R21" s="1435"/>
      <c r="S21" s="1427"/>
      <c r="T21" s="1537" t="s">
        <v>430</v>
      </c>
      <c r="U21" s="1538"/>
      <c r="V21" s="1435"/>
      <c r="W21" s="1539">
        <f>+E30</f>
        <v>618.82203131349468</v>
      </c>
      <c r="X21" s="1444"/>
      <c r="Y21" s="1409"/>
      <c r="Z21" s="1409"/>
      <c r="AA21" s="1409"/>
      <c r="AB21" s="1409"/>
      <c r="AC21" s="1409"/>
    </row>
    <row r="22" spans="1:29" ht="20.25" customHeight="1" thickBot="1">
      <c r="A22" s="1479" t="s">
        <v>431</v>
      </c>
      <c r="B22" s="1480"/>
      <c r="C22" s="1540">
        <f>[16]Chart!C30</f>
        <v>0.22309999999999999</v>
      </c>
      <c r="D22" s="1540">
        <f>[16]Chart!C30</f>
        <v>0.22309999999999999</v>
      </c>
      <c r="E22" s="1541">
        <f>[16]Chart!C30</f>
        <v>0.22309999999999999</v>
      </c>
      <c r="F22" s="1542" t="s">
        <v>432</v>
      </c>
      <c r="G22" s="1428"/>
      <c r="H22" s="1537" t="s">
        <v>433</v>
      </c>
      <c r="I22" s="1538"/>
      <c r="J22" s="1435"/>
      <c r="K22" s="1543">
        <f>+C31</f>
        <v>2144.2692309423105</v>
      </c>
      <c r="L22" s="1435"/>
      <c r="M22" s="1427"/>
      <c r="N22" s="1537" t="s">
        <v>433</v>
      </c>
      <c r="O22" s="1538"/>
      <c r="P22" s="1435"/>
      <c r="Q22" s="1543">
        <f>+D31</f>
        <v>2144.2692309423105</v>
      </c>
      <c r="R22" s="1435"/>
      <c r="S22" s="1427"/>
      <c r="T22" s="1537" t="s">
        <v>433</v>
      </c>
      <c r="U22" s="1538"/>
      <c r="V22" s="1435"/>
      <c r="W22" s="1544">
        <f>+E31</f>
        <v>2144.2692309423105</v>
      </c>
      <c r="X22" s="1444"/>
      <c r="Y22" s="1409"/>
      <c r="Z22" s="1409"/>
      <c r="AA22" s="1409"/>
      <c r="AB22" s="1409"/>
      <c r="AC22" s="1409"/>
    </row>
    <row r="23" spans="1:29" ht="20.25" customHeight="1" thickTop="1" thickBot="1">
      <c r="A23" s="1545" t="s">
        <v>50</v>
      </c>
      <c r="B23" s="1546"/>
      <c r="C23" s="1547">
        <f>[16]Chart!C31</f>
        <v>3.7000000000000002E-3</v>
      </c>
      <c r="D23" s="1547">
        <f>[16]Chart!C31</f>
        <v>3.7000000000000002E-3</v>
      </c>
      <c r="E23" s="1547">
        <f>[16]Chart!C31</f>
        <v>3.7000000000000002E-3</v>
      </c>
      <c r="F23" s="1542" t="s">
        <v>432</v>
      </c>
      <c r="G23" s="1428"/>
      <c r="H23" s="1548" t="s">
        <v>386</v>
      </c>
      <c r="I23" s="1549"/>
      <c r="J23" s="1435"/>
      <c r="K23" s="1522">
        <f>SUM(K21:K22)*(2.64%+1)</f>
        <v>2836.0368715793584</v>
      </c>
      <c r="L23" s="1522">
        <f>K23*K13</f>
        <v>10351.534581264657</v>
      </c>
      <c r="M23" s="1427"/>
      <c r="N23" s="1548" t="s">
        <v>386</v>
      </c>
      <c r="O23" s="1549"/>
      <c r="P23" s="1435"/>
      <c r="Q23" s="1522">
        <f>SUM(Q21:Q22)*(2.64%+1)</f>
        <v>2836.0368715793584</v>
      </c>
      <c r="R23" s="1522">
        <f>Q23*Q13</f>
        <v>10918.741955580528</v>
      </c>
      <c r="S23" s="1427"/>
      <c r="T23" s="1537" t="s">
        <v>434</v>
      </c>
      <c r="U23" s="1538"/>
      <c r="V23" s="1435"/>
      <c r="W23" s="1543">
        <f>+E32</f>
        <v>1343.04</v>
      </c>
      <c r="X23" s="1444"/>
      <c r="Y23" s="1409"/>
      <c r="Z23" s="1409"/>
      <c r="AA23" s="1409"/>
      <c r="AB23" s="1409"/>
      <c r="AC23" s="1409"/>
    </row>
    <row r="24" spans="1:29" ht="20.25" customHeight="1" thickTop="1">
      <c r="A24" s="1499" t="s">
        <v>435</v>
      </c>
      <c r="B24" s="1500"/>
      <c r="C24" s="1550">
        <v>9.9400000000000002E-2</v>
      </c>
      <c r="D24" s="1550">
        <v>9.9400000000000002E-2</v>
      </c>
      <c r="E24" s="1550">
        <v>9.9400000000000002E-2</v>
      </c>
      <c r="F24" s="1551" t="s">
        <v>436</v>
      </c>
      <c r="G24" s="1428"/>
      <c r="H24" s="1483"/>
      <c r="I24" s="1483"/>
      <c r="J24" s="1443"/>
      <c r="K24" s="1443"/>
      <c r="L24" s="1443"/>
      <c r="M24" s="1427"/>
      <c r="N24" s="1483"/>
      <c r="O24" s="1483"/>
      <c r="P24" s="1443"/>
      <c r="Q24" s="1443"/>
      <c r="R24" s="1443"/>
      <c r="S24" s="1427"/>
      <c r="T24" s="1548" t="s">
        <v>386</v>
      </c>
      <c r="U24" s="1549"/>
      <c r="V24" s="1435"/>
      <c r="W24" s="1522">
        <f>SUM(W21:W23)*(2.64%+1)</f>
        <v>4214.5331275793587</v>
      </c>
      <c r="X24" s="1552">
        <f>W24*W13</f>
        <v>17827.475129660688</v>
      </c>
      <c r="Y24" s="1409"/>
      <c r="Z24" s="1409"/>
      <c r="AA24" s="1409"/>
      <c r="AB24" s="1409"/>
      <c r="AC24" s="1409"/>
    </row>
    <row r="25" spans="1:29" ht="20.25" customHeight="1">
      <c r="A25" s="1479" t="s">
        <v>437</v>
      </c>
      <c r="B25" s="1480"/>
      <c r="C25" s="1553">
        <v>1473.2</v>
      </c>
      <c r="D25" s="1553">
        <v>1473.2</v>
      </c>
      <c r="E25" s="1553">
        <v>1473.2</v>
      </c>
      <c r="F25" s="1542" t="s">
        <v>438</v>
      </c>
      <c r="G25" s="1428"/>
      <c r="H25" s="1493" t="s">
        <v>439</v>
      </c>
      <c r="I25" s="1493"/>
      <c r="J25" s="1494"/>
      <c r="K25" s="1494"/>
      <c r="L25" s="1496">
        <f>L16+L17+L18+L20+L23+L19</f>
        <v>206999.55150403644</v>
      </c>
      <c r="M25" s="1427"/>
      <c r="N25" s="1493" t="s">
        <v>439</v>
      </c>
      <c r="O25" s="1493"/>
      <c r="P25" s="1494"/>
      <c r="Q25" s="1494"/>
      <c r="R25" s="1496">
        <f>SUM(R16:R23)</f>
        <v>218712.81953321738</v>
      </c>
      <c r="S25" s="1427"/>
      <c r="T25" s="1497" t="s">
        <v>439</v>
      </c>
      <c r="U25" s="1493"/>
      <c r="V25" s="1494"/>
      <c r="W25" s="1494"/>
      <c r="X25" s="1498">
        <f>SUM(X16:X24)</f>
        <v>265687.93064209417</v>
      </c>
      <c r="Y25" s="1409"/>
      <c r="Z25" s="1409"/>
      <c r="AA25" s="1409"/>
      <c r="AB25" s="1409"/>
      <c r="AC25" s="1409"/>
    </row>
    <row r="26" spans="1:29" ht="20.25" customHeight="1">
      <c r="A26" s="1554" t="s">
        <v>440</v>
      </c>
      <c r="B26" s="1555"/>
      <c r="C26" s="1540">
        <f>'[16]CAF Fall 2019'!BT30</f>
        <v>1.7780248869661817E-2</v>
      </c>
      <c r="D26" s="1540">
        <f>'[16]CAF Fall 2019'!BT30</f>
        <v>1.7780248869661817E-2</v>
      </c>
      <c r="E26" s="1540">
        <f>'[16]CAF Fall 2019'!BT30</f>
        <v>1.7780248869661817E-2</v>
      </c>
      <c r="F26" s="1514" t="s">
        <v>441</v>
      </c>
      <c r="G26" s="1428"/>
      <c r="H26" s="1432"/>
      <c r="I26" s="1432"/>
      <c r="J26" s="1435"/>
      <c r="K26" s="1435"/>
      <c r="L26" s="1435"/>
      <c r="M26" s="1427"/>
      <c r="N26" s="1432"/>
      <c r="O26" s="1432"/>
      <c r="P26" s="1435"/>
      <c r="Q26" s="1435"/>
      <c r="R26" s="1435"/>
      <c r="S26" s="1427"/>
      <c r="T26" s="1437"/>
      <c r="U26" s="1432"/>
      <c r="V26" s="1435"/>
      <c r="W26" s="1435"/>
      <c r="X26" s="1444"/>
      <c r="Y26" s="1409"/>
      <c r="Z26" s="1409"/>
      <c r="AA26" s="1409"/>
      <c r="AB26" s="1409"/>
      <c r="AC26" s="1409"/>
    </row>
    <row r="27" spans="1:29" ht="20.25" customHeight="1">
      <c r="A27" s="1556" t="s">
        <v>442</v>
      </c>
      <c r="B27" s="1557"/>
      <c r="C27" s="1509" t="s">
        <v>424</v>
      </c>
      <c r="D27" s="1509" t="s">
        <v>425</v>
      </c>
      <c r="E27" s="1509" t="s">
        <v>426</v>
      </c>
      <c r="F27" s="1510"/>
      <c r="G27" s="1428"/>
      <c r="H27" s="1432" t="s">
        <v>443</v>
      </c>
      <c r="I27" s="1432"/>
      <c r="J27" s="1506">
        <f>C24</f>
        <v>9.9400000000000002E-2</v>
      </c>
      <c r="K27" s="1435"/>
      <c r="L27" s="1458">
        <f>J27*L25</f>
        <v>20575.755419501224</v>
      </c>
      <c r="M27" s="1427"/>
      <c r="N27" s="1432" t="s">
        <v>443</v>
      </c>
      <c r="O27" s="1432"/>
      <c r="P27" s="1506">
        <f>D24</f>
        <v>9.9400000000000002E-2</v>
      </c>
      <c r="Q27" s="1435"/>
      <c r="R27" s="1458">
        <f>P27*R25</f>
        <v>21740.054261601807</v>
      </c>
      <c r="S27" s="1427"/>
      <c r="T27" s="1437" t="s">
        <v>443</v>
      </c>
      <c r="U27" s="1432"/>
      <c r="V27" s="1506">
        <f>E24</f>
        <v>9.9400000000000002E-2</v>
      </c>
      <c r="W27" s="1435"/>
      <c r="X27" s="1461">
        <f>V27*X25</f>
        <v>26409.380305824161</v>
      </c>
      <c r="Y27" s="1409"/>
      <c r="Z27" s="1409"/>
      <c r="AA27" s="1409"/>
      <c r="AB27" s="1409"/>
      <c r="AC27" s="1409"/>
    </row>
    <row r="28" spans="1:29" ht="20.25" customHeight="1">
      <c r="A28" s="1479" t="s">
        <v>444</v>
      </c>
      <c r="B28" s="1480"/>
      <c r="C28" s="1558">
        <v>488.4047394198264</v>
      </c>
      <c r="D28" s="1558">
        <v>1159.6070479277817</v>
      </c>
      <c r="E28" s="1558">
        <v>4638.4177353806672</v>
      </c>
      <c r="F28" s="1542" t="s">
        <v>438</v>
      </c>
      <c r="G28" s="1428"/>
      <c r="H28" s="1432" t="s">
        <v>445</v>
      </c>
      <c r="I28" s="1432"/>
      <c r="J28" s="1506">
        <v>0.05</v>
      </c>
      <c r="K28" s="1559">
        <f>C29</f>
        <v>37451</v>
      </c>
      <c r="L28" s="1458">
        <f>K28*J6*J28</f>
        <v>28088.25</v>
      </c>
      <c r="M28" s="1427"/>
      <c r="N28" s="1432" t="s">
        <v>445</v>
      </c>
      <c r="O28" s="1432"/>
      <c r="P28" s="1506">
        <v>0.05</v>
      </c>
      <c r="Q28" s="1559">
        <f>D29</f>
        <v>37451</v>
      </c>
      <c r="R28" s="1458">
        <f>Q28*P28*P6</f>
        <v>20598.050000000003</v>
      </c>
      <c r="S28" s="1427"/>
      <c r="T28" s="1432" t="s">
        <v>445</v>
      </c>
      <c r="U28" s="1432"/>
      <c r="V28" s="1506">
        <v>0.05</v>
      </c>
      <c r="W28" s="1559">
        <f>E29</f>
        <v>37451</v>
      </c>
      <c r="X28" s="1461">
        <f>W28*V28*V6</f>
        <v>14980.400000000001</v>
      </c>
      <c r="Y28" s="1409"/>
      <c r="Z28" s="1409"/>
      <c r="AA28" s="1409"/>
      <c r="AB28" s="1409"/>
      <c r="AC28" s="1409"/>
    </row>
    <row r="29" spans="1:29" ht="15.75">
      <c r="A29" s="1479" t="s">
        <v>446</v>
      </c>
      <c r="B29" s="1480"/>
      <c r="C29" s="1560">
        <v>37451</v>
      </c>
      <c r="D29" s="1560">
        <v>37451</v>
      </c>
      <c r="E29" s="1560">
        <v>37451</v>
      </c>
      <c r="F29" s="1514" t="s">
        <v>447</v>
      </c>
      <c r="G29" s="1428"/>
      <c r="H29" s="1432"/>
      <c r="I29" s="1432"/>
      <c r="J29" s="1435"/>
      <c r="K29" s="1435"/>
      <c r="L29" s="1435"/>
      <c r="M29" s="1427"/>
      <c r="N29" s="1432"/>
      <c r="O29" s="1432"/>
      <c r="P29" s="1435"/>
      <c r="Q29" s="1435"/>
      <c r="R29" s="1435"/>
      <c r="S29" s="1427"/>
      <c r="T29" s="1437"/>
      <c r="U29" s="1432"/>
      <c r="V29" s="1435"/>
      <c r="W29" s="1435"/>
      <c r="X29" s="1444"/>
      <c r="Y29" s="1409"/>
      <c r="Z29" s="1409"/>
      <c r="AA29" s="1409"/>
      <c r="AB29" s="1409"/>
      <c r="AC29" s="1409"/>
    </row>
    <row r="30" spans="1:29" ht="16.899999999999999" customHeight="1" thickBot="1">
      <c r="A30" s="1479" t="s">
        <v>430</v>
      </c>
      <c r="B30" s="1480"/>
      <c r="C30" s="1558">
        <v>618.82203131349468</v>
      </c>
      <c r="D30" s="1558">
        <v>618.82203131349468</v>
      </c>
      <c r="E30" s="1558">
        <v>618.82203131349468</v>
      </c>
      <c r="F30" s="1542" t="s">
        <v>438</v>
      </c>
      <c r="G30" s="1428"/>
      <c r="H30" s="1561" t="s">
        <v>448</v>
      </c>
      <c r="I30" s="1561"/>
      <c r="J30" s="1562"/>
      <c r="K30" s="1562"/>
      <c r="L30" s="1563">
        <f>SUM(L25:L28)</f>
        <v>255663.55692353766</v>
      </c>
      <c r="M30" s="1427"/>
      <c r="N30" s="1561" t="s">
        <v>448</v>
      </c>
      <c r="O30" s="1561"/>
      <c r="P30" s="1562"/>
      <c r="Q30" s="1562"/>
      <c r="R30" s="1563">
        <f>SUM(R25:R28)</f>
        <v>261050.92379481916</v>
      </c>
      <c r="S30" s="1427"/>
      <c r="T30" s="1564" t="s">
        <v>448</v>
      </c>
      <c r="U30" s="1561"/>
      <c r="V30" s="1562"/>
      <c r="W30" s="1562"/>
      <c r="X30" s="1565">
        <f>SUM(X25:X28)</f>
        <v>307077.71094791836</v>
      </c>
      <c r="Y30" s="1409"/>
      <c r="Z30" s="1409"/>
      <c r="AA30" s="1409"/>
      <c r="AB30" s="1409"/>
      <c r="AC30" s="1409"/>
    </row>
    <row r="31" spans="1:29" ht="16.899999999999999" customHeight="1" thickTop="1">
      <c r="A31" s="1479" t="s">
        <v>433</v>
      </c>
      <c r="B31" s="1480"/>
      <c r="C31" s="1558">
        <v>2144.2692309423105</v>
      </c>
      <c r="D31" s="1558">
        <v>2144.2692309423105</v>
      </c>
      <c r="E31" s="1558">
        <v>2144.2692309423105</v>
      </c>
      <c r="F31" s="1542" t="s">
        <v>438</v>
      </c>
      <c r="G31" s="1428"/>
      <c r="H31" s="1432" t="s">
        <v>449</v>
      </c>
      <c r="I31" s="1432"/>
      <c r="J31" s="1506">
        <f>C26</f>
        <v>1.7780248869661817E-2</v>
      </c>
      <c r="K31" s="1435"/>
      <c r="L31" s="1566">
        <f>(L30*(1+J31))-(L13*J31)</f>
        <v>257703.30257811054</v>
      </c>
      <c r="M31" s="1427"/>
      <c r="N31" s="1432" t="s">
        <v>449</v>
      </c>
      <c r="O31" s="1432"/>
      <c r="P31" s="1506">
        <f>D26</f>
        <v>1.7780248869661817E-2</v>
      </c>
      <c r="Q31" s="1435"/>
      <c r="R31" s="1566">
        <f>(R30*(1+P31))-(R13*P31)</f>
        <v>263104.32475384109</v>
      </c>
      <c r="S31" s="1427"/>
      <c r="T31" s="1437" t="s">
        <v>449</v>
      </c>
      <c r="U31" s="1432"/>
      <c r="V31" s="1506">
        <f>E26</f>
        <v>1.7780248869661817E-2</v>
      </c>
      <c r="W31" s="1435"/>
      <c r="X31" s="1567">
        <f>(X30*(1+V31))-(X13*V31)</f>
        <v>309772.48503414949</v>
      </c>
      <c r="Y31" s="1409"/>
      <c r="Z31" s="1409"/>
      <c r="AA31" s="1409"/>
      <c r="AB31" s="1409"/>
      <c r="AC31" s="1409"/>
    </row>
    <row r="32" spans="1:29" ht="31.15" customHeight="1">
      <c r="A32" s="1479" t="s">
        <v>434</v>
      </c>
      <c r="B32" s="1480"/>
      <c r="C32" s="1558">
        <v>0</v>
      </c>
      <c r="D32" s="1558">
        <v>0</v>
      </c>
      <c r="E32" s="1558">
        <v>1343.04</v>
      </c>
      <c r="F32" s="1542" t="s">
        <v>450</v>
      </c>
      <c r="G32" s="1428"/>
      <c r="H32" s="1432"/>
      <c r="I32" s="1432"/>
      <c r="J32" s="1435"/>
      <c r="K32" s="1435"/>
      <c r="L32" s="1568" t="s">
        <v>451</v>
      </c>
      <c r="M32" s="1427"/>
      <c r="N32" s="1432"/>
      <c r="O32" s="1432"/>
      <c r="P32" s="1435"/>
      <c r="Q32" s="1435"/>
      <c r="R32" s="1568" t="s">
        <v>451</v>
      </c>
      <c r="S32" s="1427"/>
      <c r="T32" s="1437"/>
      <c r="U32" s="1432"/>
      <c r="V32" s="1435"/>
      <c r="W32" s="1435"/>
      <c r="X32" s="1569" t="s">
        <v>451</v>
      </c>
      <c r="Y32" s="1409"/>
      <c r="Z32" s="1409"/>
      <c r="AA32" s="1409"/>
      <c r="AB32" s="1409"/>
      <c r="AC32" s="1409"/>
    </row>
    <row r="33" spans="1:37" ht="15.75">
      <c r="A33" s="1479" t="s">
        <v>429</v>
      </c>
      <c r="B33" s="1480"/>
      <c r="C33" s="1558">
        <v>11034.9</v>
      </c>
      <c r="D33" s="1558">
        <v>10789.68</v>
      </c>
      <c r="E33" s="1558">
        <v>13732.32</v>
      </c>
      <c r="F33" s="1542" t="s">
        <v>452</v>
      </c>
      <c r="G33" s="1428"/>
      <c r="H33" s="1432" t="s">
        <v>453</v>
      </c>
      <c r="I33" s="1432"/>
      <c r="J33" s="1435"/>
      <c r="K33" s="1570"/>
      <c r="L33" s="1570">
        <f>L31/L6</f>
        <v>47.069096361298726</v>
      </c>
      <c r="M33" s="1427"/>
      <c r="N33" s="1432" t="s">
        <v>453</v>
      </c>
      <c r="O33" s="1432"/>
      <c r="P33" s="1435"/>
      <c r="Q33" s="1570"/>
      <c r="R33" s="1570">
        <f>R31/R6</f>
        <v>65.530342404443616</v>
      </c>
      <c r="S33" s="1427"/>
      <c r="T33" s="1437" t="s">
        <v>453</v>
      </c>
      <c r="U33" s="1432"/>
      <c r="V33" s="1435"/>
      <c r="W33" s="1570"/>
      <c r="X33" s="1571">
        <f>X31/X6</f>
        <v>106.08646747744845</v>
      </c>
      <c r="Y33" s="1409"/>
      <c r="Z33" s="1409"/>
      <c r="AA33" s="1409"/>
      <c r="AB33" s="1409"/>
      <c r="AC33" s="1409"/>
    </row>
    <row r="34" spans="1:37" ht="16.5" thickBot="1">
      <c r="A34" s="1572" t="s">
        <v>386</v>
      </c>
      <c r="B34" s="1573"/>
      <c r="C34" s="1574">
        <v>14285.49600167563</v>
      </c>
      <c r="D34" s="1574">
        <v>14711.698310183587</v>
      </c>
      <c r="E34" s="1574">
        <v>22476.548997636473</v>
      </c>
      <c r="F34" s="1575"/>
      <c r="G34" s="1428"/>
      <c r="H34" s="1576" t="s">
        <v>454</v>
      </c>
      <c r="I34" s="1577">
        <v>0.95</v>
      </c>
      <c r="J34" s="1578"/>
      <c r="K34" s="1579"/>
      <c r="L34" s="1580">
        <f>L33/I34</f>
        <v>49.546417222419713</v>
      </c>
      <c r="M34" s="1581"/>
      <c r="N34" s="1582" t="s">
        <v>454</v>
      </c>
      <c r="O34" s="1583">
        <v>0.95</v>
      </c>
      <c r="P34" s="1584"/>
      <c r="Q34" s="1585"/>
      <c r="R34" s="1586">
        <f>R33/O34</f>
        <v>68.979307794151183</v>
      </c>
      <c r="S34" s="1581"/>
      <c r="T34" s="1576" t="s">
        <v>454</v>
      </c>
      <c r="U34" s="1577">
        <v>0.95</v>
      </c>
      <c r="V34" s="1578"/>
      <c r="W34" s="1579"/>
      <c r="X34" s="1580">
        <f>X33/U34</f>
        <v>111.66996576573521</v>
      </c>
      <c r="Y34" s="1409"/>
      <c r="Z34" s="1409"/>
      <c r="AA34" s="1409"/>
      <c r="AB34" s="1409"/>
      <c r="AC34" s="1409"/>
    </row>
    <row r="35" spans="1:37" ht="29.45" customHeight="1">
      <c r="A35" s="1587"/>
      <c r="B35" s="1587"/>
      <c r="G35" s="1406"/>
      <c r="H35" s="1588"/>
      <c r="I35" s="1589"/>
      <c r="J35" s="1590"/>
      <c r="K35" s="1591"/>
      <c r="L35" s="1591"/>
      <c r="M35" s="1592"/>
      <c r="N35" s="1593"/>
      <c r="O35" s="1594"/>
      <c r="P35" s="1595"/>
      <c r="Q35" s="1596"/>
      <c r="R35" s="1596"/>
      <c r="S35" s="1592"/>
      <c r="T35" s="1597"/>
      <c r="U35" s="1598"/>
      <c r="V35" s="1599"/>
      <c r="W35" s="1596"/>
      <c r="X35" s="1596"/>
      <c r="Y35" s="1600"/>
      <c r="Z35" s="1409"/>
      <c r="AA35" s="1409"/>
      <c r="AB35" s="1409"/>
      <c r="AC35" s="1409"/>
    </row>
    <row r="36" spans="1:37" ht="16.899999999999999" customHeight="1">
      <c r="A36" s="1601"/>
      <c r="B36" s="1601"/>
      <c r="C36" s="1602"/>
      <c r="D36" s="1601"/>
      <c r="E36" s="1601"/>
      <c r="F36" s="1603"/>
      <c r="G36" s="1406"/>
      <c r="H36" s="1406"/>
      <c r="I36" s="1406"/>
      <c r="J36" s="1409"/>
      <c r="K36" s="1409"/>
      <c r="L36" s="1409"/>
      <c r="M36" s="1406"/>
      <c r="N36" s="1406"/>
      <c r="O36" s="1406"/>
      <c r="P36" s="1409"/>
      <c r="Q36" s="1409"/>
      <c r="R36" s="1409"/>
      <c r="S36" s="1406"/>
      <c r="T36" s="1406"/>
      <c r="U36" s="1406"/>
      <c r="V36" s="1409"/>
      <c r="W36" s="1409"/>
      <c r="X36" s="1409"/>
      <c r="Y36" s="1409"/>
      <c r="Z36" s="1409"/>
      <c r="AA36" s="1409"/>
      <c r="AB36" s="1409"/>
      <c r="AC36" s="1409"/>
      <c r="AD36" s="1409"/>
      <c r="AE36" s="1406"/>
      <c r="AF36" s="1406"/>
      <c r="AG36" s="1406"/>
      <c r="AH36" s="1406"/>
      <c r="AI36" s="1406"/>
      <c r="AJ36" s="1406"/>
      <c r="AK36" s="1406"/>
    </row>
    <row r="37" spans="1:37" ht="51" customHeight="1">
      <c r="C37" s="1604"/>
      <c r="G37" s="1406"/>
      <c r="H37" s="1406"/>
      <c r="I37" s="1406"/>
      <c r="J37" s="1409"/>
      <c r="K37" s="1409"/>
      <c r="L37" s="1605"/>
      <c r="M37" s="1406"/>
      <c r="N37" s="1406"/>
      <c r="O37" s="1406"/>
      <c r="P37" s="1409"/>
      <c r="Q37" s="1409"/>
      <c r="R37" s="1605"/>
      <c r="S37" s="1406"/>
      <c r="T37" s="1406"/>
      <c r="U37" s="1406"/>
      <c r="V37" s="1409"/>
      <c r="W37" s="1409"/>
      <c r="X37" s="1605"/>
      <c r="Y37" s="1409"/>
      <c r="Z37" s="1409"/>
      <c r="AA37" s="1409"/>
      <c r="AB37" s="1409"/>
      <c r="AC37" s="1409"/>
      <c r="AD37" s="1409"/>
      <c r="AE37" s="1406"/>
      <c r="AF37" s="1406"/>
      <c r="AG37" s="1406"/>
      <c r="AH37" s="1406"/>
      <c r="AI37" s="1406"/>
      <c r="AJ37" s="1406"/>
      <c r="AK37" s="1406"/>
    </row>
    <row r="38" spans="1:37" s="1410" customFormat="1" ht="24" customHeight="1">
      <c r="A38" s="1405"/>
      <c r="B38" s="1405"/>
      <c r="C38" s="1405"/>
      <c r="D38" s="1405"/>
      <c r="E38" s="1405"/>
      <c r="F38" s="1405"/>
      <c r="G38" s="1406"/>
      <c r="H38" s="1406"/>
      <c r="I38" s="1406"/>
      <c r="J38" s="1409"/>
      <c r="K38" s="1409"/>
      <c r="L38" s="1409"/>
      <c r="M38" s="1406"/>
      <c r="N38" s="1406"/>
      <c r="O38" s="1406"/>
      <c r="P38" s="1409"/>
      <c r="Q38" s="1409"/>
      <c r="R38" s="1409"/>
      <c r="S38" s="1406"/>
      <c r="T38" s="1406"/>
      <c r="U38" s="1406"/>
      <c r="V38" s="1409"/>
      <c r="W38" s="1409"/>
      <c r="X38" s="1409"/>
      <c r="Y38" s="1409"/>
      <c r="Z38" s="1409"/>
      <c r="AA38" s="1409"/>
      <c r="AB38" s="1409"/>
      <c r="AC38" s="1409"/>
      <c r="AD38" s="1409"/>
      <c r="AE38" s="1406"/>
      <c r="AF38" s="1406"/>
      <c r="AG38" s="1406"/>
      <c r="AH38" s="1406"/>
      <c r="AI38" s="1406"/>
      <c r="AJ38" s="1406"/>
      <c r="AK38" s="1406"/>
    </row>
    <row r="39" spans="1:37" s="1410" customFormat="1" ht="20.25" customHeight="1">
      <c r="A39" s="1405"/>
      <c r="B39" s="1405"/>
      <c r="C39" s="1405"/>
      <c r="D39" s="1405"/>
      <c r="E39" s="1405"/>
      <c r="F39" s="1405"/>
      <c r="G39" s="1406"/>
      <c r="H39" s="1406"/>
      <c r="I39" s="1406"/>
      <c r="J39" s="1409"/>
      <c r="K39" s="1409"/>
      <c r="L39" s="1409"/>
      <c r="M39" s="1406"/>
      <c r="N39" s="1406"/>
      <c r="O39" s="1406"/>
      <c r="P39" s="1409"/>
      <c r="Q39" s="1409"/>
      <c r="R39" s="1409"/>
      <c r="S39" s="1406"/>
      <c r="T39" s="1406"/>
      <c r="U39" s="1406"/>
      <c r="V39" s="1409"/>
      <c r="W39" s="1409"/>
      <c r="X39" s="1409"/>
      <c r="Y39" s="1409"/>
      <c r="Z39" s="1409"/>
      <c r="AA39" s="1409"/>
      <c r="AB39" s="1409"/>
      <c r="AC39" s="1409"/>
      <c r="AD39" s="1409"/>
      <c r="AE39" s="1406"/>
      <c r="AF39" s="1406"/>
      <c r="AG39" s="1406"/>
      <c r="AH39" s="1406"/>
      <c r="AI39" s="1406"/>
      <c r="AJ39" s="1406"/>
      <c r="AK39" s="1406"/>
    </row>
    <row r="40" spans="1:37" s="1410" customFormat="1" ht="20.25" customHeight="1">
      <c r="A40" s="1405"/>
      <c r="B40" s="1405"/>
      <c r="C40" s="1405"/>
      <c r="D40" s="1405"/>
      <c r="E40" s="1405"/>
      <c r="F40" s="1405"/>
      <c r="G40" s="1406"/>
      <c r="H40" s="1406"/>
      <c r="I40" s="1406"/>
      <c r="J40" s="1409"/>
      <c r="K40" s="1409"/>
      <c r="L40" s="1409"/>
      <c r="M40" s="1406"/>
      <c r="N40" s="1406"/>
      <c r="O40" s="1406"/>
      <c r="P40" s="1409"/>
      <c r="Q40" s="1409"/>
      <c r="R40" s="1409"/>
      <c r="S40" s="1406"/>
      <c r="T40" s="1406"/>
      <c r="U40" s="1406"/>
      <c r="V40" s="1409"/>
      <c r="W40" s="1409"/>
      <c r="X40" s="1409"/>
      <c r="Y40" s="1409"/>
      <c r="Z40" s="1409"/>
      <c r="AA40" s="1409"/>
      <c r="AB40" s="1409"/>
      <c r="AC40" s="1409"/>
      <c r="AD40" s="1409"/>
      <c r="AE40" s="1406"/>
      <c r="AF40" s="1406"/>
      <c r="AG40" s="1406"/>
      <c r="AH40" s="1406"/>
      <c r="AI40" s="1406"/>
      <c r="AJ40" s="1406"/>
      <c r="AK40" s="1406"/>
    </row>
    <row r="41" spans="1:37" s="1410" customFormat="1" ht="20.25" customHeight="1">
      <c r="A41" s="1405"/>
      <c r="B41" s="1405"/>
      <c r="C41" s="1405"/>
      <c r="D41" s="1405"/>
      <c r="E41" s="1405"/>
      <c r="F41" s="1405"/>
      <c r="G41" s="1406"/>
      <c r="H41" s="1406"/>
      <c r="I41" s="1406"/>
      <c r="J41" s="1409"/>
      <c r="K41" s="1409"/>
      <c r="L41" s="1409"/>
      <c r="M41" s="1406"/>
      <c r="N41" s="1406"/>
      <c r="O41" s="1406"/>
      <c r="P41" s="1409"/>
      <c r="Q41" s="1409"/>
      <c r="R41" s="1409"/>
      <c r="S41" s="1406"/>
      <c r="T41" s="1406"/>
      <c r="U41" s="1406"/>
      <c r="V41" s="1409"/>
      <c r="W41" s="1409"/>
      <c r="X41" s="1409"/>
      <c r="Y41" s="1409"/>
      <c r="Z41" s="1409"/>
      <c r="AA41" s="1409"/>
      <c r="AB41" s="1409"/>
      <c r="AC41" s="1409"/>
      <c r="AD41" s="1409"/>
      <c r="AE41" s="1406"/>
      <c r="AF41" s="1406"/>
      <c r="AG41" s="1406"/>
      <c r="AH41" s="1406"/>
      <c r="AI41" s="1406"/>
      <c r="AJ41" s="1406"/>
      <c r="AK41" s="1406"/>
    </row>
    <row r="42" spans="1:37" s="1410" customFormat="1" ht="29.25" customHeight="1">
      <c r="A42" s="1405"/>
      <c r="B42" s="1405"/>
      <c r="C42" s="1405"/>
      <c r="D42" s="1405"/>
      <c r="E42" s="1405"/>
      <c r="F42" s="1405"/>
      <c r="G42" s="1406"/>
      <c r="H42" s="1406"/>
      <c r="I42" s="1406"/>
      <c r="J42" s="1409"/>
      <c r="K42" s="1409"/>
      <c r="L42" s="1409"/>
      <c r="M42" s="1406"/>
      <c r="N42" s="1406"/>
      <c r="O42" s="1406"/>
      <c r="P42" s="1409"/>
      <c r="Q42" s="1409"/>
      <c r="R42" s="1409"/>
      <c r="S42" s="1406"/>
      <c r="T42" s="1406"/>
      <c r="U42" s="1406"/>
      <c r="V42" s="1409"/>
      <c r="W42" s="1409"/>
      <c r="X42" s="1409"/>
      <c r="Y42" s="1409"/>
      <c r="Z42" s="1409"/>
      <c r="AA42" s="1409"/>
      <c r="AB42" s="1409"/>
      <c r="AC42" s="1409"/>
      <c r="AD42" s="1409"/>
      <c r="AE42" s="1406"/>
      <c r="AF42" s="1406"/>
      <c r="AG42" s="1406"/>
      <c r="AH42" s="1406"/>
      <c r="AI42" s="1406"/>
      <c r="AJ42" s="1406"/>
      <c r="AK42" s="1406"/>
    </row>
    <row r="43" spans="1:37" s="1410" customFormat="1" ht="20.25" customHeight="1">
      <c r="A43" s="1405"/>
      <c r="B43" s="1405"/>
      <c r="C43" s="1405"/>
      <c r="D43" s="1405"/>
      <c r="E43" s="1405"/>
      <c r="F43" s="1405"/>
      <c r="G43" s="1406"/>
      <c r="H43" s="1406"/>
      <c r="I43" s="1406"/>
      <c r="J43" s="1409"/>
      <c r="K43" s="1409"/>
      <c r="L43" s="1409"/>
      <c r="M43" s="1406"/>
      <c r="N43" s="1406"/>
      <c r="O43" s="1406"/>
      <c r="P43" s="1409"/>
      <c r="Q43" s="1409"/>
      <c r="R43" s="1409"/>
      <c r="S43" s="1406"/>
      <c r="T43" s="1406"/>
      <c r="U43" s="1406"/>
      <c r="V43" s="1409"/>
      <c r="W43" s="1409"/>
      <c r="X43" s="1409"/>
      <c r="Y43" s="1409"/>
      <c r="Z43" s="1409"/>
      <c r="AA43" s="1409"/>
      <c r="AB43" s="1409"/>
      <c r="AC43" s="1409"/>
      <c r="AD43" s="1409"/>
      <c r="AE43" s="1406"/>
      <c r="AF43" s="1406"/>
      <c r="AG43" s="1406"/>
      <c r="AH43" s="1406"/>
      <c r="AI43" s="1406"/>
      <c r="AJ43" s="1406"/>
      <c r="AK43" s="1406"/>
    </row>
    <row r="44" spans="1:37" s="1410" customFormat="1" ht="20.25" customHeight="1">
      <c r="A44" s="1405"/>
      <c r="B44" s="1405"/>
      <c r="C44" s="1405"/>
      <c r="D44" s="1405"/>
      <c r="E44" s="1405"/>
      <c r="F44" s="1405"/>
      <c r="G44" s="1406"/>
      <c r="H44" s="1406"/>
      <c r="I44" s="1406"/>
      <c r="J44" s="1409"/>
      <c r="K44" s="1409"/>
      <c r="L44" s="1409"/>
      <c r="M44" s="1406"/>
      <c r="N44" s="1406"/>
      <c r="O44" s="1406"/>
      <c r="P44" s="1409"/>
      <c r="Q44" s="1409"/>
      <c r="R44" s="1409"/>
      <c r="S44" s="1406"/>
      <c r="T44" s="1406"/>
      <c r="U44" s="1406"/>
      <c r="V44" s="1409"/>
      <c r="W44" s="1409"/>
      <c r="X44" s="1409"/>
      <c r="Y44" s="1409"/>
      <c r="Z44" s="1409"/>
      <c r="AA44" s="1409"/>
      <c r="AB44" s="1409"/>
      <c r="AC44" s="1409"/>
      <c r="AD44" s="1409"/>
      <c r="AE44" s="1406"/>
      <c r="AF44" s="1406"/>
      <c r="AG44" s="1406"/>
      <c r="AH44" s="1406"/>
      <c r="AI44" s="1406"/>
      <c r="AJ44" s="1406"/>
      <c r="AK44" s="1406"/>
    </row>
    <row r="45" spans="1:37" ht="20.25" customHeight="1">
      <c r="G45" s="1406"/>
      <c r="H45" s="1406"/>
      <c r="I45" s="1406"/>
      <c r="J45" s="1409"/>
      <c r="K45" s="1409"/>
      <c r="L45" s="1409"/>
      <c r="M45" s="1406"/>
      <c r="N45" s="1406"/>
      <c r="O45" s="1406"/>
      <c r="P45" s="1409"/>
      <c r="Q45" s="1409"/>
      <c r="R45" s="1409"/>
      <c r="S45" s="1406"/>
      <c r="T45" s="1406"/>
      <c r="U45" s="1406"/>
      <c r="V45" s="1409"/>
      <c r="W45" s="1409"/>
      <c r="X45" s="1409"/>
      <c r="Y45" s="1409"/>
      <c r="Z45" s="1409"/>
      <c r="AA45" s="1409"/>
      <c r="AB45" s="1409"/>
      <c r="AC45" s="1409"/>
      <c r="AD45" s="1409"/>
      <c r="AE45" s="1406"/>
      <c r="AF45" s="1406"/>
      <c r="AG45" s="1406"/>
      <c r="AH45" s="1406"/>
      <c r="AI45" s="1406"/>
      <c r="AJ45" s="1406"/>
      <c r="AK45" s="1406"/>
    </row>
    <row r="46" spans="1:37" ht="20.25" customHeight="1">
      <c r="H46" s="1406"/>
      <c r="I46" s="1406"/>
      <c r="J46" s="1409"/>
      <c r="K46" s="1409"/>
      <c r="L46" s="1409"/>
      <c r="M46" s="1406"/>
      <c r="N46" s="1406"/>
      <c r="O46" s="1406"/>
      <c r="P46" s="1409"/>
      <c r="Q46" s="1409"/>
      <c r="R46" s="1409"/>
      <c r="S46" s="1406"/>
      <c r="T46" s="1406"/>
      <c r="U46" s="1406"/>
      <c r="V46" s="1409"/>
      <c r="W46" s="1409"/>
      <c r="X46" s="1409"/>
      <c r="Y46" s="1409"/>
      <c r="Z46" s="1409"/>
      <c r="AA46" s="1409"/>
      <c r="AB46" s="1409"/>
      <c r="AC46" s="1409"/>
      <c r="AD46" s="1409"/>
      <c r="AE46" s="1406"/>
      <c r="AF46" s="1406"/>
      <c r="AG46" s="1406"/>
      <c r="AH46" s="1406"/>
      <c r="AI46" s="1406"/>
      <c r="AJ46" s="1406"/>
      <c r="AK46" s="1406"/>
    </row>
  </sheetData>
  <mergeCells count="49"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0:B30"/>
    <mergeCell ref="A23:B23"/>
    <mergeCell ref="H23:I23"/>
    <mergeCell ref="N23:O23"/>
    <mergeCell ref="T23:U23"/>
    <mergeCell ref="A24:B24"/>
    <mergeCell ref="T24:U24"/>
    <mergeCell ref="H21:I21"/>
    <mergeCell ref="N21:O21"/>
    <mergeCell ref="T21:U21"/>
    <mergeCell ref="A22:B22"/>
    <mergeCell ref="H22:I22"/>
    <mergeCell ref="N22:O22"/>
    <mergeCell ref="T22:U22"/>
    <mergeCell ref="H18:I18"/>
    <mergeCell ref="N18:O18"/>
    <mergeCell ref="T18:U18"/>
    <mergeCell ref="A19:B19"/>
    <mergeCell ref="A20:B20"/>
    <mergeCell ref="T20:U20"/>
    <mergeCell ref="A13:B13"/>
    <mergeCell ref="A14:B14"/>
    <mergeCell ref="A15:B15"/>
    <mergeCell ref="A16:B16"/>
    <mergeCell ref="A17:B17"/>
    <mergeCell ref="A18:B18"/>
    <mergeCell ref="A10:F10"/>
    <mergeCell ref="H10:I10"/>
    <mergeCell ref="N10:O10"/>
    <mergeCell ref="T10:U10"/>
    <mergeCell ref="A11:B11"/>
    <mergeCell ref="A12:B12"/>
    <mergeCell ref="A2:F2"/>
    <mergeCell ref="H2:X2"/>
    <mergeCell ref="H4:L4"/>
    <mergeCell ref="N4:R4"/>
    <mergeCell ref="T4:X4"/>
    <mergeCell ref="H5:L5"/>
    <mergeCell ref="N5:R5"/>
    <mergeCell ref="T5:X5"/>
  </mergeCells>
  <pageMargins left="0.25" right="0.25" top="0.75" bottom="0.75" header="0.3" footer="0.3"/>
  <pageSetup scale="65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workbookViewId="0">
      <selection activeCell="F26" sqref="F26"/>
    </sheetView>
  </sheetViews>
  <sheetFormatPr defaultRowHeight="15"/>
  <cols>
    <col min="1" max="1" width="9.140625" style="1123"/>
    <col min="2" max="2" width="25.5703125" style="1123" bestFit="1" customWidth="1"/>
    <col min="3" max="3" width="16.28515625" style="1122" customWidth="1"/>
    <col min="4" max="4" width="13.28515625" style="1606" customWidth="1"/>
    <col min="5" max="5" width="15.140625" style="1122" bestFit="1" customWidth="1"/>
    <col min="6" max="6" width="16.5703125" style="1122" customWidth="1"/>
    <col min="7" max="7" width="15.140625" style="1122" customWidth="1"/>
    <col min="8" max="8" width="20.28515625" style="1122" customWidth="1"/>
    <col min="9" max="10" width="14.42578125" style="1122" customWidth="1"/>
    <col min="11" max="11" width="24.7109375" style="1123" customWidth="1"/>
    <col min="12" max="12" width="25.85546875" style="1123" customWidth="1"/>
    <col min="13" max="13" width="14.7109375" style="1123" customWidth="1"/>
    <col min="14" max="14" width="12" style="1123" bestFit="1" customWidth="1"/>
    <col min="15" max="15" width="9.140625" style="1123"/>
    <col min="16" max="16" width="8.85546875" style="1123" customWidth="1"/>
    <col min="17" max="18" width="9.140625" style="1123"/>
    <col min="19" max="20" width="10" style="1123" bestFit="1" customWidth="1"/>
    <col min="21" max="16384" width="9.140625" style="1123"/>
  </cols>
  <sheetData>
    <row r="1" spans="2:12" ht="15.75" thickBot="1"/>
    <row r="2" spans="2:12" ht="18.75">
      <c r="B2" s="1607" t="s">
        <v>455</v>
      </c>
      <c r="C2" s="1608"/>
      <c r="D2" s="1609"/>
      <c r="E2" s="1608"/>
      <c r="F2" s="1608"/>
      <c r="G2" s="1608"/>
      <c r="H2" s="1608"/>
      <c r="I2" s="1608"/>
      <c r="J2" s="1608"/>
      <c r="K2" s="1610"/>
      <c r="L2" s="1611"/>
    </row>
    <row r="3" spans="2:12" ht="18.75">
      <c r="B3" s="1612"/>
      <c r="C3" s="1613" t="s">
        <v>456</v>
      </c>
      <c r="D3" s="1613"/>
      <c r="E3" s="1613"/>
      <c r="F3" s="1613"/>
      <c r="G3" s="1613"/>
      <c r="H3" s="1613"/>
      <c r="I3" s="1613"/>
      <c r="J3" s="1613"/>
      <c r="K3" s="1613"/>
      <c r="L3" s="1614"/>
    </row>
    <row r="4" spans="2:12" ht="15.75" customHeight="1" thickBot="1">
      <c r="B4" s="1612"/>
      <c r="C4" s="1615"/>
      <c r="D4" s="1616"/>
      <c r="E4" s="1616"/>
      <c r="F4" s="1616"/>
      <c r="G4" s="1616"/>
      <c r="H4" s="1616"/>
      <c r="I4" s="1617"/>
      <c r="J4" s="1618"/>
    </row>
    <row r="5" spans="2:12" ht="45.75" thickBot="1">
      <c r="B5" s="1619"/>
      <c r="C5" s="1620" t="s">
        <v>335</v>
      </c>
      <c r="D5" s="1621" t="s">
        <v>325</v>
      </c>
      <c r="E5" s="1622" t="s">
        <v>324</v>
      </c>
      <c r="F5" s="1623" t="s">
        <v>457</v>
      </c>
      <c r="G5" s="1624" t="s">
        <v>173</v>
      </c>
      <c r="H5" s="1625"/>
      <c r="I5" s="1123"/>
      <c r="J5" s="1123"/>
    </row>
    <row r="6" spans="2:12">
      <c r="B6" s="1626" t="s">
        <v>183</v>
      </c>
      <c r="C6" s="1627">
        <f>[18]Chart!C4</f>
        <v>32198.400000000001</v>
      </c>
      <c r="D6" s="1627">
        <f>[18]Chart!C18</f>
        <v>57449.599999999999</v>
      </c>
      <c r="E6" s="1628">
        <f>[18]Chart!C20</f>
        <v>86860.800000000003</v>
      </c>
      <c r="F6" s="1628">
        <f>[16]Chart!C14</f>
        <v>60923.199999999997</v>
      </c>
      <c r="G6" s="1629" t="s">
        <v>458</v>
      </c>
      <c r="H6" s="1630"/>
      <c r="I6" s="1123"/>
      <c r="J6" s="1123"/>
    </row>
    <row r="7" spans="2:12">
      <c r="B7" s="1626" t="s">
        <v>48</v>
      </c>
      <c r="C7" s="1631">
        <v>0.22309999999999999</v>
      </c>
      <c r="D7" s="1631">
        <v>0.22309999999999999</v>
      </c>
      <c r="E7" s="1631">
        <v>0.22309999999999999</v>
      </c>
      <c r="F7" s="1631">
        <v>0.22309999999999999</v>
      </c>
      <c r="G7" s="1632" t="s">
        <v>459</v>
      </c>
      <c r="H7" s="1633"/>
      <c r="I7" s="1123"/>
      <c r="J7" s="1123"/>
    </row>
    <row r="8" spans="2:12">
      <c r="B8" s="1634" t="s">
        <v>460</v>
      </c>
      <c r="C8" s="1635">
        <f t="shared" ref="C8:F8" si="0">C6*C7</f>
        <v>7183.4630399999996</v>
      </c>
      <c r="D8" s="1635">
        <f t="shared" si="0"/>
        <v>12817.00576</v>
      </c>
      <c r="E8" s="1635">
        <f t="shared" si="0"/>
        <v>19378.644479999999</v>
      </c>
      <c r="F8" s="1635">
        <f t="shared" si="0"/>
        <v>13591.965919999999</v>
      </c>
      <c r="G8" s="1632"/>
      <c r="H8" s="1633"/>
      <c r="I8" s="1123"/>
      <c r="J8" s="1123"/>
      <c r="L8" s="34"/>
    </row>
    <row r="9" spans="2:12">
      <c r="B9" s="1626" t="s">
        <v>461</v>
      </c>
      <c r="C9" s="1636">
        <f>C6+C8</f>
        <v>39381.863040000004</v>
      </c>
      <c r="D9" s="1636">
        <f t="shared" ref="D9:F9" si="1">D6+D8</f>
        <v>70266.605760000006</v>
      </c>
      <c r="E9" s="1636">
        <f t="shared" si="1"/>
        <v>106239.44448000001</v>
      </c>
      <c r="F9" s="1636">
        <f t="shared" si="1"/>
        <v>74515.165919999999</v>
      </c>
      <c r="G9" s="1632"/>
      <c r="H9" s="1633"/>
      <c r="I9" s="1123"/>
      <c r="J9" s="1123"/>
    </row>
    <row r="10" spans="2:12">
      <c r="B10" s="1637" t="s">
        <v>462</v>
      </c>
      <c r="C10" s="1638">
        <f>C6*G10</f>
        <v>119.13408000000001</v>
      </c>
      <c r="D10" s="1638">
        <f>D6*G10</f>
        <v>212.56352000000001</v>
      </c>
      <c r="E10" s="1639">
        <f>E6*G10</f>
        <v>321.38496000000004</v>
      </c>
      <c r="F10" s="1639">
        <f>F6*G10</f>
        <v>225.41584</v>
      </c>
      <c r="G10" s="1640">
        <v>3.7000000000000002E-3</v>
      </c>
      <c r="H10" s="1641"/>
      <c r="I10" s="1123"/>
      <c r="J10" s="1123"/>
    </row>
    <row r="11" spans="2:12">
      <c r="B11" s="1637" t="s">
        <v>51</v>
      </c>
      <c r="C11" s="1642">
        <f>(C8+C10)*$G$11</f>
        <v>129.84199418847564</v>
      </c>
      <c r="D11" s="1642">
        <f t="shared" ref="D11:F11" si="2">(D8+D10)*$G$11</f>
        <v>231.66898446290034</v>
      </c>
      <c r="E11" s="1642">
        <f t="shared" si="2"/>
        <v>350.2714261828645</v>
      </c>
      <c r="F11" s="1642">
        <f t="shared" si="2"/>
        <v>245.67648641992577</v>
      </c>
      <c r="G11" s="1640">
        <f>'[16]CAF Fall 2019'!BT30</f>
        <v>1.7780248869661817E-2</v>
      </c>
      <c r="H11" s="1641"/>
      <c r="I11" s="1123"/>
      <c r="J11" s="1123"/>
    </row>
    <row r="12" spans="2:12" ht="15.75" thickBot="1">
      <c r="B12" s="1626" t="s">
        <v>463</v>
      </c>
      <c r="C12" s="1635">
        <f>C10+C9+C11</f>
        <v>39630.839114188486</v>
      </c>
      <c r="D12" s="1635">
        <f t="shared" ref="D12:F12" si="3">D10+D9+D11</f>
        <v>70710.838264462902</v>
      </c>
      <c r="E12" s="1635">
        <f t="shared" si="3"/>
        <v>106911.10086618287</v>
      </c>
      <c r="F12" s="1635">
        <f t="shared" si="3"/>
        <v>74986.258246419922</v>
      </c>
      <c r="G12" s="1632"/>
      <c r="H12" s="1633"/>
      <c r="I12" s="1123"/>
      <c r="J12" s="1123"/>
    </row>
    <row r="13" spans="2:12" ht="15.75" thickBot="1">
      <c r="B13" s="1643" t="s">
        <v>464</v>
      </c>
      <c r="C13" s="1644">
        <f>E24</f>
        <v>1952</v>
      </c>
      <c r="D13" s="1644">
        <f>$J$24</f>
        <v>1760</v>
      </c>
      <c r="E13" s="1644">
        <f>$J$24</f>
        <v>1760</v>
      </c>
      <c r="F13" s="1644">
        <f>$J$24</f>
        <v>1760</v>
      </c>
      <c r="G13" s="1645"/>
      <c r="H13" s="1646"/>
      <c r="I13" s="1123"/>
      <c r="J13" s="1123"/>
    </row>
    <row r="14" spans="2:12" s="179" customFormat="1" ht="15.75" thickBot="1">
      <c r="B14" s="1647" t="s">
        <v>465</v>
      </c>
      <c r="C14" s="1648">
        <f>(C12)/C13-0.02</f>
        <v>20.282683972432626</v>
      </c>
      <c r="D14" s="1648">
        <f>(D12)/D13+0.02</f>
        <v>40.196612650263013</v>
      </c>
      <c r="E14" s="1648">
        <f>(E12)/E13+0.02</f>
        <v>60.764943673967544</v>
      </c>
      <c r="F14" s="1648">
        <f>(F12)/F13-0.01</f>
        <v>42.595828549102229</v>
      </c>
      <c r="G14" s="1649"/>
      <c r="H14" s="1650"/>
    </row>
    <row r="15" spans="2:12">
      <c r="B15" s="1651"/>
      <c r="C15" s="1652"/>
      <c r="D15" s="1652"/>
      <c r="E15" s="1652"/>
      <c r="F15" s="1652"/>
      <c r="G15" s="532"/>
      <c r="H15" s="1653"/>
      <c r="I15" s="1123"/>
      <c r="J15" s="1123"/>
    </row>
    <row r="16" spans="2:12" ht="15.75" thickBot="1">
      <c r="B16" s="1654"/>
      <c r="C16" s="1655"/>
      <c r="D16" s="1655"/>
      <c r="E16" s="1655"/>
      <c r="F16" s="1655"/>
      <c r="G16" s="1656"/>
      <c r="H16" s="1657"/>
      <c r="I16" s="1123"/>
      <c r="J16" s="1123"/>
    </row>
    <row r="17" spans="2:12">
      <c r="C17" s="1123"/>
      <c r="D17" s="26"/>
      <c r="E17" s="1123"/>
      <c r="F17" s="1123"/>
      <c r="G17" s="1123"/>
      <c r="H17" s="1123"/>
      <c r="I17" s="1123"/>
      <c r="J17" s="1123"/>
    </row>
    <row r="19" spans="2:12" ht="15.75" thickBot="1">
      <c r="B19" s="1658" t="s">
        <v>466</v>
      </c>
      <c r="C19" s="1659"/>
      <c r="D19" s="1660"/>
      <c r="E19" s="1659"/>
      <c r="G19" s="1661" t="s">
        <v>467</v>
      </c>
      <c r="H19" s="1662"/>
      <c r="I19" s="1662"/>
      <c r="J19" s="1662"/>
    </row>
    <row r="20" spans="2:12">
      <c r="B20" s="1663"/>
      <c r="C20" s="1664"/>
      <c r="D20" s="1665" t="s">
        <v>395</v>
      </c>
      <c r="E20" s="1666" t="s">
        <v>396</v>
      </c>
      <c r="G20" s="1663"/>
      <c r="H20" s="1664"/>
      <c r="I20" s="1665" t="s">
        <v>395</v>
      </c>
      <c r="J20" s="1666" t="s">
        <v>396</v>
      </c>
    </row>
    <row r="21" spans="2:12" ht="15.75" thickBot="1">
      <c r="B21" s="1667"/>
      <c r="C21" s="1668" t="s">
        <v>468</v>
      </c>
      <c r="D21" s="1669">
        <v>15</v>
      </c>
      <c r="E21" s="1670">
        <f>D21*8</f>
        <v>120</v>
      </c>
      <c r="F21" s="1025"/>
      <c r="G21" s="1667"/>
      <c r="H21" s="1668" t="s">
        <v>468</v>
      </c>
      <c r="I21" s="1669">
        <v>15</v>
      </c>
      <c r="J21" s="1670">
        <f>I21*8</f>
        <v>120</v>
      </c>
      <c r="K21" s="1025"/>
      <c r="L21" s="111"/>
    </row>
    <row r="22" spans="2:12" ht="15.75" thickTop="1">
      <c r="B22" s="1671"/>
      <c r="C22" s="1672" t="s">
        <v>469</v>
      </c>
      <c r="D22" s="1673">
        <v>1</v>
      </c>
      <c r="E22" s="1674">
        <f>D22*8</f>
        <v>8</v>
      </c>
      <c r="F22" s="1121"/>
      <c r="G22" s="1675"/>
      <c r="H22" s="1676" t="s">
        <v>470</v>
      </c>
      <c r="I22" s="1673">
        <v>25</v>
      </c>
      <c r="J22" s="1677">
        <f>I22*8</f>
        <v>200</v>
      </c>
      <c r="K22" s="1025"/>
    </row>
    <row r="23" spans="2:12">
      <c r="B23" s="1667"/>
      <c r="C23" s="1678"/>
      <c r="D23" s="1668" t="s">
        <v>410</v>
      </c>
      <c r="E23" s="1679">
        <f>SUM(E21:E22)</f>
        <v>128</v>
      </c>
      <c r="G23" s="1667"/>
      <c r="H23" s="1678"/>
      <c r="I23" s="1668" t="s">
        <v>410</v>
      </c>
      <c r="J23" s="1670">
        <f>SUM(J21:J22)</f>
        <v>320</v>
      </c>
    </row>
    <row r="24" spans="2:12" ht="15.75" thickBot="1">
      <c r="B24" s="1680"/>
      <c r="C24" s="1681"/>
      <c r="D24" s="1682" t="s">
        <v>464</v>
      </c>
      <c r="E24" s="1683">
        <f>2080-E23</f>
        <v>1952</v>
      </c>
      <c r="G24" s="1680"/>
      <c r="H24" s="1681"/>
      <c r="I24" s="1682" t="s">
        <v>464</v>
      </c>
      <c r="J24" s="1684">
        <f>2080-J23</f>
        <v>1760</v>
      </c>
    </row>
  </sheetData>
  <mergeCells count="7">
    <mergeCell ref="G12:H12"/>
    <mergeCell ref="C3:L3"/>
    <mergeCell ref="G5:H5"/>
    <mergeCell ref="G6:H6"/>
    <mergeCell ref="G7:H7"/>
    <mergeCell ref="G8:H8"/>
    <mergeCell ref="G9:H9"/>
  </mergeCells>
  <pageMargins left="0.7" right="0.7" top="0.75" bottom="0.75" header="0.3" footer="0.3"/>
  <pageSetup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A624"/>
  <sheetViews>
    <sheetView tabSelected="1" topLeftCell="L1" workbookViewId="0">
      <selection activeCell="AD18" sqref="AD18"/>
    </sheetView>
  </sheetViews>
  <sheetFormatPr defaultColWidth="9.140625" defaultRowHeight="15"/>
  <cols>
    <col min="1" max="1" width="9.140625" style="1696" hidden="1" customWidth="1"/>
    <col min="2" max="2" width="21.7109375" style="1700" hidden="1" customWidth="1"/>
    <col min="3" max="3" width="10.5703125" style="1696" hidden="1" customWidth="1"/>
    <col min="4" max="4" width="15.28515625" style="1696" hidden="1" customWidth="1"/>
    <col min="5" max="5" width="16.85546875" style="1700" hidden="1" customWidth="1"/>
    <col min="6" max="6" width="11" style="1696" hidden="1" customWidth="1"/>
    <col min="7" max="7" width="11.42578125" style="1703" hidden="1" customWidth="1"/>
    <col min="8" max="11" width="9.140625" style="1696" hidden="1" customWidth="1"/>
    <col min="12" max="12" width="5.140625" style="1696" customWidth="1"/>
    <col min="13" max="13" width="16.85546875" style="1696" hidden="1" customWidth="1"/>
    <col min="14" max="14" width="16.5703125" style="1696" hidden="1" customWidth="1"/>
    <col min="15" max="15" width="22.28515625" style="1696" hidden="1" customWidth="1"/>
    <col min="16" max="16" width="16.85546875" style="1696" customWidth="1"/>
    <col min="17" max="17" width="20.28515625" style="1763" customWidth="1"/>
    <col min="18" max="18" width="16.85546875" style="1763" customWidth="1"/>
    <col min="19" max="19" width="11.28515625" style="1696" customWidth="1"/>
    <col min="20" max="20" width="11.42578125" style="1696" customWidth="1"/>
    <col min="21" max="21" width="11.28515625" style="1696" customWidth="1"/>
    <col min="22" max="22" width="25.5703125" style="1696" hidden="1" customWidth="1"/>
    <col min="23" max="23" width="0" style="1697" hidden="1" customWidth="1"/>
    <col min="24" max="24" width="0" style="1696" hidden="1" customWidth="1"/>
    <col min="25" max="25" width="15.7109375" style="1696" hidden="1" customWidth="1"/>
    <col min="26" max="26" width="15.7109375" style="1714" hidden="1" customWidth="1"/>
    <col min="27" max="27" width="9.140625" style="1697"/>
    <col min="28" max="16384" width="9.140625" style="1696"/>
  </cols>
  <sheetData>
    <row r="2" spans="2:27" s="1686" customFormat="1" ht="30.75" thickBot="1">
      <c r="B2" s="1685">
        <v>2400</v>
      </c>
      <c r="C2" s="1686">
        <v>3288</v>
      </c>
      <c r="D2" s="1687">
        <f t="shared" ref="D2:D65" si="0">ROUNDUP(B2,-3)</f>
        <v>3000</v>
      </c>
      <c r="E2" s="1688">
        <v>9050</v>
      </c>
      <c r="F2" s="1687">
        <f t="shared" ref="F2:F65" si="1">E2-B2</f>
        <v>6650</v>
      </c>
      <c r="G2" s="1689">
        <f t="shared" ref="G2:G65" si="2">F2/B2</f>
        <v>2.7708333333333335</v>
      </c>
      <c r="H2" s="1690">
        <v>25</v>
      </c>
      <c r="J2" s="1691">
        <f>AVERAGE(B2:B26)</f>
        <v>6505.028800000001</v>
      </c>
      <c r="P2" s="1692"/>
      <c r="Q2" s="1693" t="s">
        <v>471</v>
      </c>
      <c r="R2" s="1694" t="s">
        <v>472</v>
      </c>
      <c r="T2" s="1695">
        <f>[16]Chart!C32</f>
        <v>1.7780248869661817E-2</v>
      </c>
      <c r="V2" s="1696"/>
      <c r="W2" s="1697"/>
      <c r="X2" s="1696"/>
      <c r="Y2" s="1696"/>
      <c r="Z2" s="1698"/>
      <c r="AA2" s="1699"/>
    </row>
    <row r="3" spans="2:27" ht="60.75" thickBot="1">
      <c r="B3" s="1700">
        <v>3600</v>
      </c>
      <c r="C3" s="1696">
        <v>3288</v>
      </c>
      <c r="D3" s="1701">
        <f t="shared" si="0"/>
        <v>4000</v>
      </c>
      <c r="E3" s="1702">
        <v>9050</v>
      </c>
      <c r="F3" s="1701">
        <f t="shared" si="1"/>
        <v>5450</v>
      </c>
      <c r="G3" s="1703">
        <f t="shared" si="2"/>
        <v>1.5138888888888888</v>
      </c>
      <c r="J3" s="1704"/>
      <c r="M3" s="1705" t="s">
        <v>473</v>
      </c>
      <c r="N3" s="1706" t="s">
        <v>474</v>
      </c>
      <c r="O3" s="1707" t="s">
        <v>475</v>
      </c>
      <c r="P3" s="1708" t="s">
        <v>217</v>
      </c>
      <c r="Q3" s="1709" t="s">
        <v>476</v>
      </c>
      <c r="R3" s="1710" t="s">
        <v>218</v>
      </c>
      <c r="V3" s="1711" t="s">
        <v>477</v>
      </c>
      <c r="W3" s="1712" t="s">
        <v>478</v>
      </c>
      <c r="X3" s="1712" t="s">
        <v>479</v>
      </c>
      <c r="Y3" s="1713" t="s">
        <v>480</v>
      </c>
    </row>
    <row r="4" spans="2:27">
      <c r="B4" s="1700">
        <v>4932.3599999999997</v>
      </c>
      <c r="C4" s="1696">
        <v>3150</v>
      </c>
      <c r="D4" s="1701">
        <f t="shared" si="0"/>
        <v>5000</v>
      </c>
      <c r="E4" s="1702">
        <v>9050</v>
      </c>
      <c r="F4" s="1701">
        <f t="shared" si="1"/>
        <v>4117.6400000000003</v>
      </c>
      <c r="G4" s="1703">
        <f t="shared" si="2"/>
        <v>0.8348214647754828</v>
      </c>
      <c r="J4" s="1704"/>
      <c r="L4" s="1696">
        <v>1</v>
      </c>
      <c r="M4" s="1715">
        <v>9289.269721798777</v>
      </c>
      <c r="N4" s="1716">
        <f>M4/365</f>
        <v>25.450054032325415</v>
      </c>
      <c r="O4" s="1717">
        <f>N4/0.95</f>
        <v>26.789530560342545</v>
      </c>
      <c r="P4" s="1718">
        <v>9462.9797401984288</v>
      </c>
      <c r="Q4" s="1719">
        <f t="shared" ref="Q4:Q28" si="3">ROUND(P4*($T$2+1)/347,2)</f>
        <v>27.76</v>
      </c>
      <c r="R4" s="1720">
        <f>Q4*347</f>
        <v>9632.7200000000012</v>
      </c>
      <c r="S4" s="1721" t="s">
        <v>481</v>
      </c>
      <c r="V4" s="1722" t="s">
        <v>482</v>
      </c>
      <c r="W4" s="1723" t="s">
        <v>483</v>
      </c>
      <c r="X4" s="1724">
        <v>694</v>
      </c>
      <c r="Y4" s="1725">
        <v>18461.8</v>
      </c>
      <c r="Z4" s="1714" t="e">
        <f>X4*#REF!</f>
        <v>#REF!</v>
      </c>
      <c r="AA4" s="1726"/>
    </row>
    <row r="5" spans="2:27">
      <c r="B5" s="1700">
        <v>4932.3599999999997</v>
      </c>
      <c r="C5" s="1696">
        <v>3150</v>
      </c>
      <c r="D5" s="1701">
        <f t="shared" si="0"/>
        <v>5000</v>
      </c>
      <c r="E5" s="1702">
        <v>9050</v>
      </c>
      <c r="F5" s="1701">
        <f t="shared" si="1"/>
        <v>4117.6400000000003</v>
      </c>
      <c r="G5" s="1703">
        <f t="shared" si="2"/>
        <v>0.8348214647754828</v>
      </c>
      <c r="J5" s="1704"/>
      <c r="L5" s="1696">
        <v>2</v>
      </c>
      <c r="M5" s="1715">
        <v>12830.483041158534</v>
      </c>
      <c r="N5" s="1716">
        <f t="shared" ref="N5:N28" si="4">M5/365</f>
        <v>35.15200833194119</v>
      </c>
      <c r="O5" s="1717">
        <f t="shared" ref="O5:O28" si="5">N5/0.95</f>
        <v>37.002114033622306</v>
      </c>
      <c r="P5" s="1727">
        <v>13070.414005798935</v>
      </c>
      <c r="Q5" s="1719">
        <f t="shared" si="3"/>
        <v>38.340000000000003</v>
      </c>
      <c r="R5" s="1728">
        <f t="shared" ref="R5:R28" si="6">Q5*347</f>
        <v>13303.980000000001</v>
      </c>
      <c r="S5" s="1729"/>
      <c r="T5" s="1730" t="s">
        <v>484</v>
      </c>
      <c r="V5" s="1722" t="s">
        <v>485</v>
      </c>
      <c r="W5" s="1723" t="s">
        <v>483</v>
      </c>
      <c r="X5" s="1724">
        <v>694</v>
      </c>
      <c r="Y5" s="1725">
        <v>25502.3</v>
      </c>
      <c r="Z5" s="1714" t="e">
        <f>X5*#REF!</f>
        <v>#REF!</v>
      </c>
      <c r="AA5" s="1726"/>
    </row>
    <row r="6" spans="2:27">
      <c r="B6" s="1700">
        <v>5475</v>
      </c>
      <c r="C6" s="1696">
        <v>3150</v>
      </c>
      <c r="D6" s="1701">
        <f t="shared" si="0"/>
        <v>6000</v>
      </c>
      <c r="E6" s="1702">
        <v>9050</v>
      </c>
      <c r="F6" s="1701">
        <f t="shared" si="1"/>
        <v>3575</v>
      </c>
      <c r="G6" s="1703">
        <f t="shared" si="2"/>
        <v>0.65296803652968038</v>
      </c>
      <c r="J6" s="1704"/>
      <c r="L6" s="1696">
        <v>3</v>
      </c>
      <c r="M6" s="1715">
        <v>15396.57964939024</v>
      </c>
      <c r="N6" s="1731">
        <f t="shared" si="4"/>
        <v>42.182409998329426</v>
      </c>
      <c r="O6" s="1717">
        <f t="shared" si="5"/>
        <v>44.40253684034677</v>
      </c>
      <c r="P6" s="1727">
        <v>15684.496806958719</v>
      </c>
      <c r="Q6" s="1719">
        <f t="shared" si="3"/>
        <v>46</v>
      </c>
      <c r="R6" s="1728">
        <f t="shared" si="6"/>
        <v>15962</v>
      </c>
      <c r="S6" s="1729"/>
      <c r="T6" s="1732"/>
      <c r="U6" s="1733" t="s">
        <v>486</v>
      </c>
      <c r="V6" s="1722" t="s">
        <v>487</v>
      </c>
      <c r="W6" s="1723" t="s">
        <v>483</v>
      </c>
      <c r="X6" s="1734">
        <v>2313</v>
      </c>
      <c r="Y6" s="1725">
        <v>101951.82</v>
      </c>
      <c r="Z6" s="1714" t="e">
        <f>X6*#REF!</f>
        <v>#REF!</v>
      </c>
      <c r="AA6" s="1726"/>
    </row>
    <row r="7" spans="2:27">
      <c r="B7" s="1700">
        <v>5748.75</v>
      </c>
      <c r="C7" s="1696">
        <v>3150</v>
      </c>
      <c r="D7" s="1701">
        <f t="shared" si="0"/>
        <v>6000</v>
      </c>
      <c r="E7" s="1702">
        <v>9050</v>
      </c>
      <c r="F7" s="1701">
        <f t="shared" si="1"/>
        <v>3301.25</v>
      </c>
      <c r="G7" s="1703">
        <f t="shared" si="2"/>
        <v>0.5742552728854099</v>
      </c>
      <c r="J7" s="1704"/>
      <c r="L7" s="1696">
        <v>4</v>
      </c>
      <c r="M7" s="1715">
        <v>17962.676257621944</v>
      </c>
      <c r="N7" s="1731">
        <f t="shared" si="4"/>
        <v>49.212811664717655</v>
      </c>
      <c r="O7" s="1717">
        <f t="shared" si="5"/>
        <v>51.802959647071219</v>
      </c>
      <c r="P7" s="1727">
        <v>18298.579608118507</v>
      </c>
      <c r="Q7" s="1719">
        <f t="shared" si="3"/>
        <v>53.67</v>
      </c>
      <c r="R7" s="1728">
        <f t="shared" si="6"/>
        <v>18623.490000000002</v>
      </c>
      <c r="S7" s="1729"/>
      <c r="T7" s="1732"/>
      <c r="U7" s="1735"/>
      <c r="V7" s="1722" t="s">
        <v>488</v>
      </c>
      <c r="W7" s="1723" t="s">
        <v>483</v>
      </c>
      <c r="X7" s="1734">
        <v>5024</v>
      </c>
      <c r="Y7" s="1725">
        <v>258622.18</v>
      </c>
      <c r="Z7" s="1714" t="e">
        <f>X7*#REF!</f>
        <v>#REF!</v>
      </c>
      <c r="AA7" s="1726"/>
    </row>
    <row r="8" spans="2:27">
      <c r="B8" s="1700">
        <v>5748.75</v>
      </c>
      <c r="C8" s="1696">
        <v>3150</v>
      </c>
      <c r="D8" s="1701">
        <f t="shared" si="0"/>
        <v>6000</v>
      </c>
      <c r="E8" s="1702">
        <v>9050</v>
      </c>
      <c r="F8" s="1701">
        <f t="shared" si="1"/>
        <v>3301.25</v>
      </c>
      <c r="G8" s="1703">
        <f t="shared" si="2"/>
        <v>0.5742552728854099</v>
      </c>
      <c r="J8" s="1704"/>
      <c r="L8" s="1696">
        <v>5</v>
      </c>
      <c r="M8" s="1715">
        <v>20528.772865853654</v>
      </c>
      <c r="N8" s="1731">
        <f t="shared" si="4"/>
        <v>56.243213331105899</v>
      </c>
      <c r="O8" s="1717">
        <f t="shared" si="5"/>
        <v>59.203382453795683</v>
      </c>
      <c r="P8" s="1727">
        <v>20912.662409278299</v>
      </c>
      <c r="Q8" s="1719">
        <f t="shared" si="3"/>
        <v>61.34</v>
      </c>
      <c r="R8" s="1728">
        <f t="shared" si="6"/>
        <v>21284.98</v>
      </c>
      <c r="S8" s="1729"/>
      <c r="T8" s="1732"/>
      <c r="U8" s="1735"/>
      <c r="V8" s="1722" t="s">
        <v>489</v>
      </c>
      <c r="W8" s="1723" t="s">
        <v>483</v>
      </c>
      <c r="X8" s="1734">
        <v>13511</v>
      </c>
      <c r="Y8" s="1725">
        <v>794417.88</v>
      </c>
      <c r="Z8" s="1714" t="e">
        <f>X8*#REF!</f>
        <v>#REF!</v>
      </c>
      <c r="AA8" s="1726"/>
    </row>
    <row r="9" spans="2:27">
      <c r="B9" s="1700">
        <v>5966</v>
      </c>
      <c r="C9" s="1696">
        <v>3150</v>
      </c>
      <c r="D9" s="1701">
        <f t="shared" si="0"/>
        <v>6000</v>
      </c>
      <c r="E9" s="1702">
        <v>9050</v>
      </c>
      <c r="F9" s="1701">
        <f t="shared" si="1"/>
        <v>3084</v>
      </c>
      <c r="G9" s="1703">
        <f t="shared" si="2"/>
        <v>0.51692926583975862</v>
      </c>
      <c r="J9" s="1704"/>
      <c r="L9" s="1696">
        <v>6</v>
      </c>
      <c r="M9" s="1715">
        <v>23094.869474085361</v>
      </c>
      <c r="N9" s="1731">
        <f t="shared" si="4"/>
        <v>63.273614997494136</v>
      </c>
      <c r="O9" s="1717">
        <f t="shared" si="5"/>
        <v>66.603805260520147</v>
      </c>
      <c r="P9" s="1727">
        <v>23526.745210438083</v>
      </c>
      <c r="Q9" s="1719">
        <f t="shared" si="3"/>
        <v>69.010000000000005</v>
      </c>
      <c r="R9" s="1728">
        <f t="shared" si="6"/>
        <v>23946.47</v>
      </c>
      <c r="S9" s="1729"/>
      <c r="T9" s="1732"/>
      <c r="U9" s="1735"/>
      <c r="V9" s="1722" t="s">
        <v>490</v>
      </c>
      <c r="W9" s="1723" t="s">
        <v>483</v>
      </c>
      <c r="X9" s="1734">
        <v>20150</v>
      </c>
      <c r="Y9" s="1725">
        <v>1332257.8500000001</v>
      </c>
      <c r="Z9" s="1714" t="e">
        <f>X9*#REF!</f>
        <v>#REF!</v>
      </c>
      <c r="AA9" s="1726"/>
    </row>
    <row r="10" spans="2:27">
      <c r="B10" s="1700">
        <v>6345</v>
      </c>
      <c r="C10" s="1696">
        <v>3288</v>
      </c>
      <c r="D10" s="1701">
        <f t="shared" si="0"/>
        <v>7000</v>
      </c>
      <c r="E10" s="1702">
        <v>9050</v>
      </c>
      <c r="F10" s="1701">
        <f t="shared" si="1"/>
        <v>2705</v>
      </c>
      <c r="G10" s="1703">
        <f t="shared" si="2"/>
        <v>0.42631993695823484</v>
      </c>
      <c r="J10" s="1704"/>
      <c r="L10" s="1696">
        <v>7</v>
      </c>
      <c r="M10" s="1715">
        <v>25660.966082317067</v>
      </c>
      <c r="N10" s="1731">
        <f t="shared" si="4"/>
        <v>70.304016663882379</v>
      </c>
      <c r="O10" s="1717">
        <f t="shared" si="5"/>
        <v>74.004228067244611</v>
      </c>
      <c r="P10" s="1727">
        <v>26140.82801159787</v>
      </c>
      <c r="Q10" s="1719">
        <f t="shared" si="3"/>
        <v>76.67</v>
      </c>
      <c r="R10" s="1728">
        <f t="shared" si="6"/>
        <v>26604.49</v>
      </c>
      <c r="S10" s="1729"/>
      <c r="T10" s="1732"/>
      <c r="U10" s="1735"/>
      <c r="V10" s="1722" t="s">
        <v>491</v>
      </c>
      <c r="W10" s="1723" t="s">
        <v>483</v>
      </c>
      <c r="X10" s="1734">
        <v>20843</v>
      </c>
      <c r="Y10" s="1725">
        <v>1531122.3</v>
      </c>
      <c r="Z10" s="1714" t="e">
        <f>X10*#REF!</f>
        <v>#REF!</v>
      </c>
      <c r="AA10" s="1726"/>
    </row>
    <row r="11" spans="2:27">
      <c r="B11" s="1700">
        <v>6420</v>
      </c>
      <c r="C11" s="1696">
        <v>3150</v>
      </c>
      <c r="D11" s="1701">
        <f t="shared" si="0"/>
        <v>7000</v>
      </c>
      <c r="E11" s="1702">
        <v>9050</v>
      </c>
      <c r="F11" s="1701">
        <f t="shared" si="1"/>
        <v>2630</v>
      </c>
      <c r="G11" s="1703">
        <f t="shared" si="2"/>
        <v>0.40965732087227413</v>
      </c>
      <c r="J11" s="1704"/>
      <c r="L11" s="1696">
        <v>8</v>
      </c>
      <c r="M11" s="1715">
        <v>28227.062690548773</v>
      </c>
      <c r="N11" s="1731">
        <f t="shared" si="4"/>
        <v>77.334418330270609</v>
      </c>
      <c r="O11" s="1717">
        <f t="shared" si="5"/>
        <v>81.404650873969061</v>
      </c>
      <c r="P11" s="1727">
        <v>28754.910812757662</v>
      </c>
      <c r="Q11" s="1719">
        <f t="shared" si="3"/>
        <v>84.34</v>
      </c>
      <c r="R11" s="1728">
        <f t="shared" si="6"/>
        <v>29265.98</v>
      </c>
      <c r="S11" s="1729"/>
      <c r="T11" s="1732"/>
      <c r="U11" s="1735"/>
      <c r="V11" s="1722" t="s">
        <v>492</v>
      </c>
      <c r="W11" s="1723" t="s">
        <v>483</v>
      </c>
      <c r="X11" s="1734">
        <v>39390</v>
      </c>
      <c r="Y11" s="1725">
        <v>3183903.63</v>
      </c>
      <c r="Z11" s="1714" t="e">
        <f>X11*#REF!</f>
        <v>#REF!</v>
      </c>
      <c r="AA11" s="1726"/>
    </row>
    <row r="12" spans="2:27">
      <c r="B12" s="1700">
        <v>6420</v>
      </c>
      <c r="C12" s="1696">
        <v>3150</v>
      </c>
      <c r="D12" s="1701">
        <f t="shared" si="0"/>
        <v>7000</v>
      </c>
      <c r="E12" s="1702">
        <v>9050</v>
      </c>
      <c r="F12" s="1701">
        <f t="shared" si="1"/>
        <v>2630</v>
      </c>
      <c r="G12" s="1703">
        <f t="shared" si="2"/>
        <v>0.40965732087227413</v>
      </c>
      <c r="J12" s="1704"/>
      <c r="L12" s="1696">
        <v>9</v>
      </c>
      <c r="M12" s="1715">
        <v>30793.15929878048</v>
      </c>
      <c r="N12" s="1731">
        <f t="shared" si="4"/>
        <v>84.364819996658852</v>
      </c>
      <c r="O12" s="1717">
        <f t="shared" si="5"/>
        <v>88.805073680693539</v>
      </c>
      <c r="P12" s="1727">
        <v>31368.993613917439</v>
      </c>
      <c r="Q12" s="1719">
        <f t="shared" si="3"/>
        <v>92.01</v>
      </c>
      <c r="R12" s="1728">
        <f t="shared" si="6"/>
        <v>31927.47</v>
      </c>
      <c r="S12" s="1729"/>
      <c r="T12" s="1732"/>
      <c r="U12" s="1735"/>
      <c r="V12" s="1722" t="s">
        <v>493</v>
      </c>
      <c r="W12" s="1723" t="s">
        <v>483</v>
      </c>
      <c r="X12" s="1734">
        <v>41832</v>
      </c>
      <c r="Y12" s="1725">
        <v>3689585.4</v>
      </c>
      <c r="Z12" s="1714" t="e">
        <f>X12*#REF!</f>
        <v>#REF!</v>
      </c>
      <c r="AA12" s="1726"/>
    </row>
    <row r="13" spans="2:27">
      <c r="B13" s="1700">
        <v>7200</v>
      </c>
      <c r="C13" s="1696">
        <v>3150</v>
      </c>
      <c r="D13" s="1701">
        <f t="shared" si="0"/>
        <v>8000</v>
      </c>
      <c r="E13" s="1702">
        <v>9050</v>
      </c>
      <c r="F13" s="1701">
        <f t="shared" si="1"/>
        <v>1850</v>
      </c>
      <c r="G13" s="1703">
        <f t="shared" si="2"/>
        <v>0.25694444444444442</v>
      </c>
      <c r="J13" s="1704"/>
      <c r="L13" s="1696">
        <v>10</v>
      </c>
      <c r="M13" s="1715">
        <v>33359.255907012186</v>
      </c>
      <c r="N13" s="1731">
        <f t="shared" si="4"/>
        <v>91.395221663047082</v>
      </c>
      <c r="O13" s="1717">
        <f t="shared" si="5"/>
        <v>96.205496487417989</v>
      </c>
      <c r="P13" s="1727">
        <v>33983.07641507723</v>
      </c>
      <c r="Q13" s="1719">
        <f t="shared" si="3"/>
        <v>99.68</v>
      </c>
      <c r="R13" s="1728">
        <f t="shared" si="6"/>
        <v>34588.959999999999</v>
      </c>
      <c r="S13" s="1729"/>
      <c r="T13" s="1732"/>
      <c r="U13" s="1735"/>
      <c r="V13" s="1722" t="s">
        <v>494</v>
      </c>
      <c r="W13" s="1723" t="s">
        <v>483</v>
      </c>
      <c r="X13" s="1734">
        <v>32225</v>
      </c>
      <c r="Y13" s="1725">
        <v>3078938.21</v>
      </c>
      <c r="Z13" s="1714" t="e">
        <f>X13*#REF!</f>
        <v>#REF!</v>
      </c>
      <c r="AA13" s="1726"/>
    </row>
    <row r="14" spans="2:27">
      <c r="B14" s="1700">
        <v>7200</v>
      </c>
      <c r="C14" s="1696">
        <v>3150</v>
      </c>
      <c r="D14" s="1701">
        <f t="shared" si="0"/>
        <v>8000</v>
      </c>
      <c r="E14" s="1702">
        <v>9050</v>
      </c>
      <c r="F14" s="1701">
        <f t="shared" si="1"/>
        <v>1850</v>
      </c>
      <c r="G14" s="1703">
        <f t="shared" si="2"/>
        <v>0.25694444444444442</v>
      </c>
      <c r="J14" s="1704"/>
      <c r="L14" s="1696">
        <v>11</v>
      </c>
      <c r="M14" s="1715">
        <v>35925.352515243889</v>
      </c>
      <c r="N14" s="1731">
        <f t="shared" si="4"/>
        <v>98.425623329435311</v>
      </c>
      <c r="O14" s="1717">
        <f t="shared" si="5"/>
        <v>103.60591929414244</v>
      </c>
      <c r="P14" s="1727">
        <v>36597.159216237014</v>
      </c>
      <c r="Q14" s="1719">
        <f t="shared" si="3"/>
        <v>107.34</v>
      </c>
      <c r="R14" s="1728">
        <f t="shared" si="6"/>
        <v>37246.980000000003</v>
      </c>
      <c r="S14" s="1729"/>
      <c r="T14" s="1732"/>
      <c r="U14" s="1735"/>
      <c r="V14" s="1722" t="s">
        <v>495</v>
      </c>
      <c r="W14" s="1723" t="s">
        <v>483</v>
      </c>
      <c r="X14" s="1734">
        <v>38674</v>
      </c>
      <c r="Y14" s="1725">
        <v>3980339.86</v>
      </c>
      <c r="Z14" s="1714" t="e">
        <f>X14*#REF!</f>
        <v>#REF!</v>
      </c>
      <c r="AA14" s="1726"/>
    </row>
    <row r="15" spans="2:27">
      <c r="B15" s="1700">
        <v>7200</v>
      </c>
      <c r="C15" s="1696">
        <v>3150</v>
      </c>
      <c r="D15" s="1701">
        <f t="shared" si="0"/>
        <v>8000</v>
      </c>
      <c r="E15" s="1702">
        <v>9050</v>
      </c>
      <c r="F15" s="1701">
        <f t="shared" si="1"/>
        <v>1850</v>
      </c>
      <c r="G15" s="1703">
        <f t="shared" si="2"/>
        <v>0.25694444444444442</v>
      </c>
      <c r="J15" s="1704"/>
      <c r="L15" s="1696">
        <v>12</v>
      </c>
      <c r="M15" s="1715">
        <v>38491.449123475599</v>
      </c>
      <c r="N15" s="1731">
        <f t="shared" si="4"/>
        <v>105.45602499582355</v>
      </c>
      <c r="O15" s="1717">
        <f t="shared" si="5"/>
        <v>111.0063421008669</v>
      </c>
      <c r="P15" s="1727">
        <v>39211.242017396806</v>
      </c>
      <c r="Q15" s="1719">
        <f t="shared" si="3"/>
        <v>115.01</v>
      </c>
      <c r="R15" s="1728">
        <f t="shared" si="6"/>
        <v>39908.47</v>
      </c>
      <c r="S15" s="1736"/>
      <c r="T15" s="1732"/>
      <c r="U15" s="1735"/>
      <c r="V15" s="1722" t="s">
        <v>496</v>
      </c>
      <c r="W15" s="1723" t="s">
        <v>483</v>
      </c>
      <c r="X15" s="1734">
        <v>49987</v>
      </c>
      <c r="Y15" s="1725">
        <v>5510842.8899999997</v>
      </c>
      <c r="Z15" s="1714" t="e">
        <f>X15*#REF!</f>
        <v>#REF!</v>
      </c>
      <c r="AA15" s="1726"/>
    </row>
    <row r="16" spans="2:27">
      <c r="B16" s="1700">
        <v>7300</v>
      </c>
      <c r="C16" s="1696">
        <v>3150</v>
      </c>
      <c r="D16" s="1701">
        <f t="shared" si="0"/>
        <v>8000</v>
      </c>
      <c r="E16" s="1702">
        <v>9050</v>
      </c>
      <c r="F16" s="1701">
        <f t="shared" si="1"/>
        <v>1750</v>
      </c>
      <c r="G16" s="1703">
        <f t="shared" si="2"/>
        <v>0.23972602739726026</v>
      </c>
      <c r="J16" s="1704"/>
      <c r="L16" s="1696">
        <v>13</v>
      </c>
      <c r="M16" s="1715">
        <v>41057.545731707309</v>
      </c>
      <c r="N16" s="1731">
        <f t="shared" si="4"/>
        <v>112.4864266622118</v>
      </c>
      <c r="O16" s="1717">
        <f t="shared" si="5"/>
        <v>118.40676490759137</v>
      </c>
      <c r="P16" s="1727">
        <v>41825.324818556597</v>
      </c>
      <c r="Q16" s="1719">
        <f t="shared" si="3"/>
        <v>122.68</v>
      </c>
      <c r="R16" s="1728">
        <f t="shared" si="6"/>
        <v>42569.96</v>
      </c>
      <c r="T16" s="1732"/>
      <c r="U16" s="1735"/>
      <c r="V16" s="1722" t="s">
        <v>497</v>
      </c>
      <c r="W16" s="1723" t="s">
        <v>483</v>
      </c>
      <c r="X16" s="1734">
        <v>33708</v>
      </c>
      <c r="Y16" s="1725">
        <v>3964887.36</v>
      </c>
      <c r="Z16" s="1714" t="e">
        <f>X16*#REF!</f>
        <v>#REF!</v>
      </c>
      <c r="AA16" s="1726"/>
    </row>
    <row r="17" spans="2:27">
      <c r="B17" s="1700">
        <v>7300</v>
      </c>
      <c r="C17" s="1696">
        <v>3150</v>
      </c>
      <c r="D17" s="1701">
        <f t="shared" si="0"/>
        <v>8000</v>
      </c>
      <c r="E17" s="1702">
        <v>9050</v>
      </c>
      <c r="F17" s="1701">
        <f t="shared" si="1"/>
        <v>1750</v>
      </c>
      <c r="G17" s="1703">
        <f t="shared" si="2"/>
        <v>0.23972602739726026</v>
      </c>
      <c r="J17" s="1704"/>
      <c r="L17" s="1696">
        <v>14</v>
      </c>
      <c r="M17" s="1715">
        <v>43623.642339939011</v>
      </c>
      <c r="N17" s="1731">
        <f t="shared" si="4"/>
        <v>119.51682832860003</v>
      </c>
      <c r="O17" s="1717">
        <f t="shared" si="5"/>
        <v>125.80718771431583</v>
      </c>
      <c r="P17" s="1727">
        <v>44439.407619716374</v>
      </c>
      <c r="Q17" s="1719">
        <f t="shared" si="3"/>
        <v>130.34</v>
      </c>
      <c r="R17" s="1728">
        <f t="shared" si="6"/>
        <v>45227.98</v>
      </c>
      <c r="T17" s="1732"/>
      <c r="U17" s="1735"/>
      <c r="V17" s="1722" t="s">
        <v>498</v>
      </c>
      <c r="W17" s="1723" t="s">
        <v>483</v>
      </c>
      <c r="X17" s="1734">
        <v>34866</v>
      </c>
      <c r="Y17" s="1725">
        <v>4356925.0199999996</v>
      </c>
      <c r="Z17" s="1714" t="e">
        <f>X17*#REF!</f>
        <v>#REF!</v>
      </c>
      <c r="AA17" s="1726"/>
    </row>
    <row r="18" spans="2:27">
      <c r="B18" s="1700">
        <v>7300</v>
      </c>
      <c r="C18" s="1696">
        <v>3288</v>
      </c>
      <c r="D18" s="1701">
        <f t="shared" si="0"/>
        <v>8000</v>
      </c>
      <c r="E18" s="1702">
        <v>9050</v>
      </c>
      <c r="F18" s="1701">
        <f t="shared" si="1"/>
        <v>1750</v>
      </c>
      <c r="G18" s="1703">
        <f t="shared" si="2"/>
        <v>0.23972602739726026</v>
      </c>
      <c r="J18" s="1704"/>
      <c r="L18" s="1696">
        <v>15</v>
      </c>
      <c r="M18" s="1715">
        <v>46189.738948170721</v>
      </c>
      <c r="N18" s="1731">
        <f t="shared" si="4"/>
        <v>126.54722999498827</v>
      </c>
      <c r="O18" s="1717">
        <f t="shared" si="5"/>
        <v>133.20761052104029</v>
      </c>
      <c r="P18" s="1727">
        <v>47053.490420876165</v>
      </c>
      <c r="Q18" s="1719">
        <f t="shared" si="3"/>
        <v>138.01</v>
      </c>
      <c r="R18" s="1728">
        <f t="shared" si="6"/>
        <v>47889.469999999994</v>
      </c>
      <c r="T18" s="1732"/>
      <c r="U18" s="1735"/>
      <c r="V18" s="1722" t="s">
        <v>499</v>
      </c>
      <c r="W18" s="1723" t="s">
        <v>483</v>
      </c>
      <c r="X18" s="1734">
        <v>19628</v>
      </c>
      <c r="Y18" s="1725">
        <v>2597688.09</v>
      </c>
      <c r="Z18" s="1714" t="e">
        <f>X18*#REF!</f>
        <v>#REF!</v>
      </c>
      <c r="AA18" s="1726"/>
    </row>
    <row r="19" spans="2:27">
      <c r="B19" s="1700">
        <v>7497.1</v>
      </c>
      <c r="C19" s="1696">
        <v>3150</v>
      </c>
      <c r="D19" s="1701">
        <f t="shared" si="0"/>
        <v>8000</v>
      </c>
      <c r="E19" s="1702">
        <v>9050</v>
      </c>
      <c r="F19" s="1701">
        <f t="shared" si="1"/>
        <v>1552.8999999999996</v>
      </c>
      <c r="G19" s="1703">
        <f t="shared" si="2"/>
        <v>0.207133424924304</v>
      </c>
      <c r="J19" s="1704"/>
      <c r="L19" s="1696">
        <v>16</v>
      </c>
      <c r="M19" s="1715">
        <v>48755.835556402424</v>
      </c>
      <c r="N19" s="1731">
        <f t="shared" si="4"/>
        <v>133.5776316613765</v>
      </c>
      <c r="O19" s="1717">
        <f t="shared" si="5"/>
        <v>140.60803332776473</v>
      </c>
      <c r="P19" s="1727">
        <v>49667.57322203595</v>
      </c>
      <c r="Q19" s="1719">
        <f t="shared" si="3"/>
        <v>145.68</v>
      </c>
      <c r="R19" s="1728">
        <f t="shared" si="6"/>
        <v>50550.96</v>
      </c>
      <c r="T19" s="1737"/>
      <c r="U19" s="1735"/>
      <c r="V19" s="1722" t="s">
        <v>500</v>
      </c>
      <c r="W19" s="1723" t="s">
        <v>483</v>
      </c>
      <c r="X19" s="1734">
        <v>22396</v>
      </c>
      <c r="Y19" s="1725">
        <v>3128079.24</v>
      </c>
      <c r="Z19" s="1714" t="e">
        <f>X19*#REF!</f>
        <v>#REF!</v>
      </c>
      <c r="AA19" s="1726"/>
    </row>
    <row r="20" spans="2:27">
      <c r="B20" s="1700">
        <v>7497.1</v>
      </c>
      <c r="C20" s="1696">
        <v>3150</v>
      </c>
      <c r="D20" s="1701">
        <f t="shared" si="0"/>
        <v>8000</v>
      </c>
      <c r="E20" s="1702">
        <v>9050</v>
      </c>
      <c r="F20" s="1701">
        <f t="shared" si="1"/>
        <v>1552.8999999999996</v>
      </c>
      <c r="G20" s="1703">
        <f t="shared" si="2"/>
        <v>0.207133424924304</v>
      </c>
      <c r="J20" s="1704"/>
      <c r="L20" s="1696">
        <v>17</v>
      </c>
      <c r="M20" s="1715">
        <v>51321.932164634134</v>
      </c>
      <c r="N20" s="1731">
        <f t="shared" si="4"/>
        <v>140.60803332776476</v>
      </c>
      <c r="O20" s="1717">
        <f t="shared" si="5"/>
        <v>148.00845613448922</v>
      </c>
      <c r="P20" s="1727">
        <v>52281.656023195741</v>
      </c>
      <c r="Q20" s="1719">
        <f t="shared" si="3"/>
        <v>153.35</v>
      </c>
      <c r="R20" s="1728">
        <f t="shared" si="6"/>
        <v>53212.45</v>
      </c>
      <c r="U20" s="1735"/>
      <c r="V20" s="1722" t="s">
        <v>501</v>
      </c>
      <c r="W20" s="1723" t="s">
        <v>483</v>
      </c>
      <c r="X20" s="1734">
        <v>2603</v>
      </c>
      <c r="Y20" s="1725">
        <v>382730.4</v>
      </c>
      <c r="Z20" s="1714" t="e">
        <f>X20*#REF!</f>
        <v>#REF!</v>
      </c>
      <c r="AA20" s="1726"/>
    </row>
    <row r="21" spans="2:27">
      <c r="B21" s="1700">
        <v>7497.1</v>
      </c>
      <c r="C21" s="1696">
        <v>3288</v>
      </c>
      <c r="D21" s="1701">
        <f t="shared" si="0"/>
        <v>8000</v>
      </c>
      <c r="E21" s="1702">
        <v>9050</v>
      </c>
      <c r="F21" s="1701">
        <f t="shared" si="1"/>
        <v>1552.8999999999996</v>
      </c>
      <c r="G21" s="1703">
        <f t="shared" si="2"/>
        <v>0.207133424924304</v>
      </c>
      <c r="J21" s="1704"/>
      <c r="L21" s="1696">
        <v>18</v>
      </c>
      <c r="M21" s="1715">
        <v>53888.028772865837</v>
      </c>
      <c r="N21" s="1731">
        <f t="shared" si="4"/>
        <v>147.63843499415299</v>
      </c>
      <c r="O21" s="1717">
        <f t="shared" si="5"/>
        <v>155.40887894121369</v>
      </c>
      <c r="P21" s="1727">
        <v>54895.738824355518</v>
      </c>
      <c r="Q21" s="1719">
        <f t="shared" si="3"/>
        <v>161.01</v>
      </c>
      <c r="R21" s="1728">
        <f t="shared" si="6"/>
        <v>55870.469999999994</v>
      </c>
      <c r="U21" s="1735"/>
      <c r="V21" s="1722" t="s">
        <v>502</v>
      </c>
      <c r="W21" s="1723" t="s">
        <v>483</v>
      </c>
      <c r="X21" s="1734">
        <v>4917</v>
      </c>
      <c r="Y21" s="1725">
        <v>759319.43</v>
      </c>
      <c r="Z21" s="1714" t="e">
        <f>X21*#REF!</f>
        <v>#REF!</v>
      </c>
      <c r="AA21" s="1726"/>
    </row>
    <row r="22" spans="2:27">
      <c r="B22" s="1700">
        <v>7497.1</v>
      </c>
      <c r="C22" s="1696">
        <v>3288</v>
      </c>
      <c r="D22" s="1701">
        <f t="shared" si="0"/>
        <v>8000</v>
      </c>
      <c r="E22" s="1702">
        <v>9050</v>
      </c>
      <c r="F22" s="1701">
        <f t="shared" si="1"/>
        <v>1552.8999999999996</v>
      </c>
      <c r="G22" s="1703">
        <f t="shared" si="2"/>
        <v>0.207133424924304</v>
      </c>
      <c r="J22" s="1704"/>
      <c r="L22" s="1696">
        <v>19</v>
      </c>
      <c r="M22" s="1715">
        <v>56454.125381097547</v>
      </c>
      <c r="N22" s="1731">
        <f t="shared" si="4"/>
        <v>154.66883666054122</v>
      </c>
      <c r="O22" s="1717">
        <f t="shared" si="5"/>
        <v>162.80930174793812</v>
      </c>
      <c r="P22" s="1727">
        <v>57509.821625515324</v>
      </c>
      <c r="Q22" s="1719">
        <f t="shared" si="3"/>
        <v>168.68</v>
      </c>
      <c r="R22" s="1728">
        <f t="shared" si="6"/>
        <v>58531.96</v>
      </c>
      <c r="U22" s="1735"/>
      <c r="V22" s="1722" t="s">
        <v>503</v>
      </c>
      <c r="W22" s="1723" t="s">
        <v>483</v>
      </c>
      <c r="X22" s="1734">
        <v>2429</v>
      </c>
      <c r="Y22" s="1725">
        <v>392695.38</v>
      </c>
      <c r="Z22" s="1714" t="e">
        <f>X22*#REF!</f>
        <v>#REF!</v>
      </c>
      <c r="AA22" s="1726"/>
    </row>
    <row r="23" spans="2:27">
      <c r="B23" s="1700">
        <v>7551.85</v>
      </c>
      <c r="C23" s="1696">
        <v>3288</v>
      </c>
      <c r="D23" s="1701">
        <f t="shared" si="0"/>
        <v>8000</v>
      </c>
      <c r="E23" s="1702">
        <v>9050</v>
      </c>
      <c r="F23" s="1701">
        <f t="shared" si="1"/>
        <v>1498.1499999999996</v>
      </c>
      <c r="G23" s="1703">
        <f t="shared" si="2"/>
        <v>0.19838185345312731</v>
      </c>
      <c r="J23" s="1704"/>
      <c r="L23" s="1696">
        <v>20</v>
      </c>
      <c r="M23" s="1715">
        <v>59020.221989329257</v>
      </c>
      <c r="N23" s="1731">
        <f t="shared" si="4"/>
        <v>161.69923832692947</v>
      </c>
      <c r="O23" s="1717">
        <f t="shared" si="5"/>
        <v>170.20972455466261</v>
      </c>
      <c r="P23" s="1727">
        <v>60123.904426675108</v>
      </c>
      <c r="Q23" s="1719">
        <f t="shared" si="3"/>
        <v>176.35</v>
      </c>
      <c r="R23" s="1728">
        <f t="shared" si="6"/>
        <v>61193.45</v>
      </c>
      <c r="U23" s="1735"/>
      <c r="V23" s="1722" t="s">
        <v>504</v>
      </c>
      <c r="W23" s="1723" t="s">
        <v>483</v>
      </c>
      <c r="X23" s="1734">
        <v>1465</v>
      </c>
      <c r="Y23" s="1725">
        <v>246591.77</v>
      </c>
      <c r="Z23" s="1714" t="e">
        <f>X23*#REF!</f>
        <v>#REF!</v>
      </c>
      <c r="AA23" s="1726"/>
    </row>
    <row r="24" spans="2:27" ht="15.75" thickBot="1">
      <c r="B24" s="1700">
        <v>7865.75</v>
      </c>
      <c r="C24" s="1696">
        <v>3150</v>
      </c>
      <c r="D24" s="1701">
        <f t="shared" si="0"/>
        <v>8000</v>
      </c>
      <c r="E24" s="1702">
        <v>9050</v>
      </c>
      <c r="F24" s="1701">
        <f t="shared" si="1"/>
        <v>1184.25</v>
      </c>
      <c r="G24" s="1703">
        <f t="shared" si="2"/>
        <v>0.15055779804850142</v>
      </c>
      <c r="J24" s="1704"/>
      <c r="L24" s="1696">
        <v>21</v>
      </c>
      <c r="M24" s="1715">
        <v>61586.318597560959</v>
      </c>
      <c r="N24" s="1731">
        <f t="shared" si="4"/>
        <v>168.7296399933177</v>
      </c>
      <c r="O24" s="1738">
        <f t="shared" si="5"/>
        <v>177.61014736138708</v>
      </c>
      <c r="P24" s="1727">
        <v>62737.987227834878</v>
      </c>
      <c r="Q24" s="1719">
        <f t="shared" si="3"/>
        <v>184.02</v>
      </c>
      <c r="R24" s="1728">
        <f t="shared" si="6"/>
        <v>63854.94</v>
      </c>
      <c r="U24" s="1739"/>
      <c r="V24" s="1722" t="s">
        <v>505</v>
      </c>
      <c r="W24" s="1723" t="s">
        <v>483</v>
      </c>
      <c r="X24" s="1734">
        <v>2664</v>
      </c>
      <c r="Y24" s="1725">
        <v>469902.96</v>
      </c>
      <c r="Z24" s="1714" t="e">
        <f>X24*#REF!</f>
        <v>#REF!</v>
      </c>
      <c r="AA24" s="1726"/>
    </row>
    <row r="25" spans="2:27" ht="19.149999999999999" customHeight="1">
      <c r="B25" s="1700">
        <v>7865.75</v>
      </c>
      <c r="C25" s="1696">
        <v>3150</v>
      </c>
      <c r="D25" s="1701">
        <f t="shared" si="0"/>
        <v>8000</v>
      </c>
      <c r="E25" s="1702">
        <v>9050</v>
      </c>
      <c r="F25" s="1701">
        <f t="shared" si="1"/>
        <v>1184.25</v>
      </c>
      <c r="G25" s="1703">
        <f t="shared" si="2"/>
        <v>0.15055779804850142</v>
      </c>
      <c r="J25" s="1704"/>
      <c r="L25" s="1696">
        <v>22</v>
      </c>
      <c r="M25" s="1740">
        <v>63895.805544969488</v>
      </c>
      <c r="N25" s="1741">
        <f t="shared" si="4"/>
        <v>175.05700149306708</v>
      </c>
      <c r="O25" s="1742">
        <f t="shared" si="5"/>
        <v>184.27052788743904</v>
      </c>
      <c r="P25" s="1727">
        <v>65090.661748878687</v>
      </c>
      <c r="Q25" s="1719">
        <f t="shared" si="3"/>
        <v>190.92</v>
      </c>
      <c r="R25" s="1728">
        <f t="shared" si="6"/>
        <v>66249.239999999991</v>
      </c>
      <c r="V25" s="1722" t="s">
        <v>506</v>
      </c>
      <c r="W25" s="1723" t="s">
        <v>483</v>
      </c>
      <c r="X25" s="1724">
        <v>520</v>
      </c>
      <c r="Y25" s="1725">
        <v>99980.4</v>
      </c>
      <c r="Z25" s="1714" t="e">
        <f>X25*#REF!</f>
        <v>#REF!</v>
      </c>
      <c r="AA25" s="1726"/>
    </row>
    <row r="26" spans="2:27" ht="19.149999999999999" customHeight="1">
      <c r="B26" s="1700">
        <v>7865.75</v>
      </c>
      <c r="C26" s="1696">
        <v>3288</v>
      </c>
      <c r="D26" s="1701">
        <f t="shared" si="0"/>
        <v>8000</v>
      </c>
      <c r="E26" s="1702">
        <v>9050</v>
      </c>
      <c r="F26" s="1701">
        <f t="shared" si="1"/>
        <v>1184.25</v>
      </c>
      <c r="G26" s="1703">
        <f t="shared" si="2"/>
        <v>0.15055779804850142</v>
      </c>
      <c r="J26" s="1704"/>
      <c r="L26" s="1696">
        <v>23</v>
      </c>
      <c r="M26" s="1743">
        <v>66718.511814024372</v>
      </c>
      <c r="N26" s="1744">
        <f t="shared" si="4"/>
        <v>182.79044332609416</v>
      </c>
      <c r="O26" s="1745">
        <f t="shared" si="5"/>
        <v>192.41099297483598</v>
      </c>
      <c r="P26" s="1727">
        <v>67966.15283015446</v>
      </c>
      <c r="Q26" s="1719">
        <f t="shared" si="3"/>
        <v>199.35</v>
      </c>
      <c r="R26" s="1728">
        <f t="shared" si="6"/>
        <v>69174.45</v>
      </c>
      <c r="V26" s="1722" t="s">
        <v>507</v>
      </c>
      <c r="W26" s="1723" t="s">
        <v>483</v>
      </c>
      <c r="X26" s="1724">
        <v>143</v>
      </c>
      <c r="Y26" s="1725">
        <v>28658.63</v>
      </c>
      <c r="Z26" s="1714" t="e">
        <f>X26*#REF!</f>
        <v>#REF!</v>
      </c>
      <c r="AA26" s="1726"/>
    </row>
    <row r="27" spans="2:27" ht="19.149999999999999" customHeight="1">
      <c r="B27" s="1700">
        <v>8152</v>
      </c>
      <c r="C27" s="1696">
        <v>3288</v>
      </c>
      <c r="D27" s="1701">
        <f t="shared" si="0"/>
        <v>9000</v>
      </c>
      <c r="E27" s="1746">
        <v>12500</v>
      </c>
      <c r="F27" s="1701">
        <f t="shared" si="1"/>
        <v>4348</v>
      </c>
      <c r="G27" s="1703">
        <f t="shared" si="2"/>
        <v>0.53336604514229635</v>
      </c>
      <c r="H27" s="1747">
        <v>38</v>
      </c>
      <c r="J27" s="1748">
        <f>AVERAGE(B27:B64)</f>
        <v>10505.995263157894</v>
      </c>
      <c r="L27" s="1696">
        <v>24</v>
      </c>
      <c r="M27" s="1743">
        <v>69541.218083079249</v>
      </c>
      <c r="N27" s="1744">
        <f t="shared" si="4"/>
        <v>190.52388515912122</v>
      </c>
      <c r="O27" s="1745">
        <f t="shared" si="5"/>
        <v>200.55145806223288</v>
      </c>
      <c r="P27" s="1727">
        <v>70841.643911430234</v>
      </c>
      <c r="Q27" s="1719">
        <f t="shared" si="3"/>
        <v>207.78</v>
      </c>
      <c r="R27" s="1728">
        <f t="shared" si="6"/>
        <v>72099.66</v>
      </c>
      <c r="V27" s="1749" t="s">
        <v>508</v>
      </c>
      <c r="W27" s="1750" t="s">
        <v>483</v>
      </c>
      <c r="X27" s="1751">
        <v>14784</v>
      </c>
      <c r="Y27" s="1752">
        <v>2442645.52</v>
      </c>
      <c r="Z27" s="1714">
        <v>2442646</v>
      </c>
      <c r="AA27" s="1726"/>
    </row>
    <row r="28" spans="2:27" ht="19.149999999999999" customHeight="1" thickBot="1">
      <c r="B28" s="1700">
        <v>8760</v>
      </c>
      <c r="C28" s="1696">
        <v>3150</v>
      </c>
      <c r="D28" s="1701">
        <f t="shared" si="0"/>
        <v>9000</v>
      </c>
      <c r="E28" s="1746">
        <v>12500</v>
      </c>
      <c r="F28" s="1701">
        <f t="shared" si="1"/>
        <v>3740</v>
      </c>
      <c r="G28" s="1703">
        <f t="shared" si="2"/>
        <v>0.4269406392694064</v>
      </c>
      <c r="J28" s="1704"/>
      <c r="L28" s="1696">
        <v>25</v>
      </c>
      <c r="M28" s="1753">
        <v>71850.705030487778</v>
      </c>
      <c r="N28" s="1754">
        <f t="shared" si="4"/>
        <v>196.85124665887062</v>
      </c>
      <c r="O28" s="1755">
        <f t="shared" si="5"/>
        <v>207.21183858828488</v>
      </c>
      <c r="P28" s="1756">
        <v>73194.318432474029</v>
      </c>
      <c r="Q28" s="1719">
        <f t="shared" si="3"/>
        <v>214.69</v>
      </c>
      <c r="R28" s="1757">
        <f t="shared" si="6"/>
        <v>74497.429999999993</v>
      </c>
      <c r="V28" s="1758" t="s">
        <v>509</v>
      </c>
      <c r="W28" s="1759"/>
      <c r="X28" s="1760"/>
      <c r="Y28" s="1761">
        <f>SUM(Y4:Y27)</f>
        <v>42376050.320000015</v>
      </c>
      <c r="Z28" s="1714" t="e">
        <f>SUM(Z4:Z27)</f>
        <v>#REF!</v>
      </c>
      <c r="AA28" s="1726"/>
    </row>
    <row r="29" spans="2:27">
      <c r="B29" s="1700">
        <v>9001</v>
      </c>
      <c r="C29" s="1696">
        <v>3150</v>
      </c>
      <c r="D29" s="1701">
        <f t="shared" si="0"/>
        <v>10000</v>
      </c>
      <c r="E29" s="1746">
        <v>12500</v>
      </c>
      <c r="F29" s="1701">
        <f t="shared" si="1"/>
        <v>3499</v>
      </c>
      <c r="G29" s="1703">
        <f t="shared" si="2"/>
        <v>0.38873458504610597</v>
      </c>
      <c r="J29" s="1704"/>
      <c r="M29" s="1762"/>
    </row>
    <row r="30" spans="2:27">
      <c r="B30" s="1700">
        <v>9029</v>
      </c>
      <c r="C30" s="1696">
        <v>3288</v>
      </c>
      <c r="D30" s="1701">
        <f t="shared" si="0"/>
        <v>10000</v>
      </c>
      <c r="E30" s="1746">
        <v>12500</v>
      </c>
      <c r="F30" s="1701">
        <f t="shared" si="1"/>
        <v>3471</v>
      </c>
      <c r="G30" s="1703">
        <f t="shared" si="2"/>
        <v>0.38442795436925464</v>
      </c>
      <c r="J30" s="1704"/>
      <c r="V30" s="1696" t="s">
        <v>510</v>
      </c>
    </row>
    <row r="31" spans="2:27">
      <c r="B31" s="1700">
        <v>9125</v>
      </c>
      <c r="C31" s="1696">
        <v>3150</v>
      </c>
      <c r="D31" s="1701">
        <f t="shared" si="0"/>
        <v>10000</v>
      </c>
      <c r="E31" s="1746">
        <v>12500</v>
      </c>
      <c r="F31" s="1701">
        <f t="shared" si="1"/>
        <v>3375</v>
      </c>
      <c r="G31" s="1703">
        <f t="shared" si="2"/>
        <v>0.36986301369863012</v>
      </c>
      <c r="J31" s="1704"/>
    </row>
    <row r="32" spans="2:27">
      <c r="B32" s="1700">
        <v>9125</v>
      </c>
      <c r="C32" s="1696">
        <v>3150</v>
      </c>
      <c r="D32" s="1701">
        <f t="shared" si="0"/>
        <v>10000</v>
      </c>
      <c r="E32" s="1746">
        <v>12500</v>
      </c>
      <c r="F32" s="1701">
        <f t="shared" si="1"/>
        <v>3375</v>
      </c>
      <c r="G32" s="1703">
        <f t="shared" si="2"/>
        <v>0.36986301369863012</v>
      </c>
      <c r="J32" s="1704"/>
      <c r="Z32" s="1714" t="e">
        <f>Z28-Z27</f>
        <v>#REF!</v>
      </c>
    </row>
    <row r="33" spans="2:10">
      <c r="B33" s="1700">
        <v>9125</v>
      </c>
      <c r="C33" s="1696">
        <v>3150</v>
      </c>
      <c r="D33" s="1701">
        <f t="shared" si="0"/>
        <v>10000</v>
      </c>
      <c r="E33" s="1746">
        <v>12500</v>
      </c>
      <c r="F33" s="1701">
        <f t="shared" si="1"/>
        <v>3375</v>
      </c>
      <c r="G33" s="1703">
        <f t="shared" si="2"/>
        <v>0.36986301369863012</v>
      </c>
      <c r="J33" s="1704"/>
    </row>
    <row r="34" spans="2:10">
      <c r="B34" s="1700">
        <v>9125</v>
      </c>
      <c r="C34" s="1696">
        <v>3150</v>
      </c>
      <c r="D34" s="1701">
        <f t="shared" si="0"/>
        <v>10000</v>
      </c>
      <c r="E34" s="1746">
        <v>12500</v>
      </c>
      <c r="F34" s="1701">
        <f t="shared" si="1"/>
        <v>3375</v>
      </c>
      <c r="G34" s="1703">
        <f t="shared" si="2"/>
        <v>0.36986301369863012</v>
      </c>
      <c r="J34" s="1704"/>
    </row>
    <row r="35" spans="2:10">
      <c r="B35" s="1700">
        <v>9125</v>
      </c>
      <c r="C35" s="1696">
        <v>3150</v>
      </c>
      <c r="D35" s="1701">
        <f t="shared" si="0"/>
        <v>10000</v>
      </c>
      <c r="E35" s="1746">
        <v>12500</v>
      </c>
      <c r="F35" s="1701">
        <f t="shared" si="1"/>
        <v>3375</v>
      </c>
      <c r="G35" s="1703">
        <f t="shared" si="2"/>
        <v>0.36986301369863012</v>
      </c>
      <c r="J35" s="1704"/>
    </row>
    <row r="36" spans="2:10">
      <c r="B36" s="1700">
        <v>9125</v>
      </c>
      <c r="C36" s="1696">
        <v>3288</v>
      </c>
      <c r="D36" s="1701">
        <f t="shared" si="0"/>
        <v>10000</v>
      </c>
      <c r="E36" s="1746">
        <v>12500</v>
      </c>
      <c r="F36" s="1701">
        <f t="shared" si="1"/>
        <v>3375</v>
      </c>
      <c r="G36" s="1703">
        <f t="shared" si="2"/>
        <v>0.36986301369863012</v>
      </c>
      <c r="J36" s="1704"/>
    </row>
    <row r="37" spans="2:10">
      <c r="B37" s="1700">
        <v>9125</v>
      </c>
      <c r="C37" s="1696">
        <v>3288</v>
      </c>
      <c r="D37" s="1701">
        <f t="shared" si="0"/>
        <v>10000</v>
      </c>
      <c r="E37" s="1746">
        <v>12500</v>
      </c>
      <c r="F37" s="1701">
        <f t="shared" si="1"/>
        <v>3375</v>
      </c>
      <c r="G37" s="1703">
        <f t="shared" si="2"/>
        <v>0.36986301369863012</v>
      </c>
      <c r="J37" s="1704"/>
    </row>
    <row r="38" spans="2:10">
      <c r="B38" s="1700">
        <v>9125</v>
      </c>
      <c r="C38" s="1696">
        <v>3288</v>
      </c>
      <c r="D38" s="1701">
        <f t="shared" si="0"/>
        <v>10000</v>
      </c>
      <c r="E38" s="1746">
        <v>12500</v>
      </c>
      <c r="F38" s="1701">
        <f t="shared" si="1"/>
        <v>3375</v>
      </c>
      <c r="G38" s="1703">
        <f t="shared" si="2"/>
        <v>0.36986301369863012</v>
      </c>
      <c r="J38" s="1704"/>
    </row>
    <row r="39" spans="2:10">
      <c r="B39" s="1700">
        <v>9125</v>
      </c>
      <c r="C39" s="1696">
        <v>3288</v>
      </c>
      <c r="D39" s="1701">
        <f t="shared" si="0"/>
        <v>10000</v>
      </c>
      <c r="E39" s="1746">
        <v>12500</v>
      </c>
      <c r="F39" s="1701">
        <f t="shared" si="1"/>
        <v>3375</v>
      </c>
      <c r="G39" s="1703">
        <f t="shared" si="2"/>
        <v>0.36986301369863012</v>
      </c>
      <c r="J39" s="1704"/>
    </row>
    <row r="40" spans="2:10">
      <c r="B40" s="1700">
        <v>9125</v>
      </c>
      <c r="C40" s="1696">
        <v>3288</v>
      </c>
      <c r="D40" s="1701">
        <f t="shared" si="0"/>
        <v>10000</v>
      </c>
      <c r="E40" s="1746">
        <v>12500</v>
      </c>
      <c r="F40" s="1701">
        <f t="shared" si="1"/>
        <v>3375</v>
      </c>
      <c r="G40" s="1703">
        <f t="shared" si="2"/>
        <v>0.36986301369863012</v>
      </c>
      <c r="J40" s="1704"/>
    </row>
    <row r="41" spans="2:10">
      <c r="B41" s="1700">
        <v>9600</v>
      </c>
      <c r="C41" s="1696">
        <v>3150</v>
      </c>
      <c r="D41" s="1701">
        <f t="shared" si="0"/>
        <v>10000</v>
      </c>
      <c r="E41" s="1746">
        <v>12500</v>
      </c>
      <c r="F41" s="1701">
        <f t="shared" si="1"/>
        <v>2900</v>
      </c>
      <c r="G41" s="1703">
        <f t="shared" si="2"/>
        <v>0.30208333333333331</v>
      </c>
      <c r="J41" s="1704"/>
    </row>
    <row r="42" spans="2:10">
      <c r="B42" s="1700">
        <v>10220</v>
      </c>
      <c r="C42" s="1696">
        <v>3288</v>
      </c>
      <c r="D42" s="1701">
        <f t="shared" si="0"/>
        <v>11000</v>
      </c>
      <c r="E42" s="1746">
        <f t="shared" ref="E42:E64" si="7">IF(B42&lt;12500,12500,12500)</f>
        <v>12500</v>
      </c>
      <c r="F42" s="1701">
        <f t="shared" si="1"/>
        <v>2280</v>
      </c>
      <c r="G42" s="1703">
        <f t="shared" si="2"/>
        <v>0.22309197651663404</v>
      </c>
      <c r="J42" s="1704"/>
    </row>
    <row r="43" spans="2:10">
      <c r="B43" s="1700">
        <v>10453.6</v>
      </c>
      <c r="C43" s="1696">
        <v>3150</v>
      </c>
      <c r="D43" s="1701">
        <f t="shared" si="0"/>
        <v>11000</v>
      </c>
      <c r="E43" s="1746">
        <f t="shared" si="7"/>
        <v>12500</v>
      </c>
      <c r="F43" s="1701">
        <f t="shared" si="1"/>
        <v>2046.3999999999996</v>
      </c>
      <c r="G43" s="1703">
        <f t="shared" si="2"/>
        <v>0.19576031223693269</v>
      </c>
      <c r="J43" s="1704"/>
    </row>
    <row r="44" spans="2:10">
      <c r="B44" s="1700">
        <v>10453.6</v>
      </c>
      <c r="C44" s="1696">
        <v>3150</v>
      </c>
      <c r="D44" s="1701">
        <f t="shared" si="0"/>
        <v>11000</v>
      </c>
      <c r="E44" s="1746">
        <f t="shared" si="7"/>
        <v>12500</v>
      </c>
      <c r="F44" s="1701">
        <f t="shared" si="1"/>
        <v>2046.3999999999996</v>
      </c>
      <c r="G44" s="1703">
        <f t="shared" si="2"/>
        <v>0.19576031223693269</v>
      </c>
      <c r="J44" s="1704"/>
    </row>
    <row r="45" spans="2:10">
      <c r="B45" s="1700">
        <v>10950</v>
      </c>
      <c r="C45" s="1696">
        <v>3150</v>
      </c>
      <c r="D45" s="1701">
        <f t="shared" si="0"/>
        <v>11000</v>
      </c>
      <c r="E45" s="1746">
        <f t="shared" si="7"/>
        <v>12500</v>
      </c>
      <c r="F45" s="1701">
        <f t="shared" si="1"/>
        <v>1550</v>
      </c>
      <c r="G45" s="1703">
        <f t="shared" si="2"/>
        <v>0.14155251141552511</v>
      </c>
      <c r="J45" s="1704"/>
    </row>
    <row r="46" spans="2:10">
      <c r="B46" s="1700">
        <v>10950</v>
      </c>
      <c r="C46" s="1696">
        <v>3150</v>
      </c>
      <c r="D46" s="1701">
        <f t="shared" si="0"/>
        <v>11000</v>
      </c>
      <c r="E46" s="1746">
        <f t="shared" si="7"/>
        <v>12500</v>
      </c>
      <c r="F46" s="1701">
        <f t="shared" si="1"/>
        <v>1550</v>
      </c>
      <c r="G46" s="1703">
        <f t="shared" si="2"/>
        <v>0.14155251141552511</v>
      </c>
      <c r="J46" s="1704"/>
    </row>
    <row r="47" spans="2:10">
      <c r="B47" s="1700">
        <v>10950</v>
      </c>
      <c r="C47" s="1696">
        <v>3150</v>
      </c>
      <c r="D47" s="1701">
        <f t="shared" si="0"/>
        <v>11000</v>
      </c>
      <c r="E47" s="1746">
        <f t="shared" si="7"/>
        <v>12500</v>
      </c>
      <c r="F47" s="1701">
        <f t="shared" si="1"/>
        <v>1550</v>
      </c>
      <c r="G47" s="1703">
        <f t="shared" si="2"/>
        <v>0.14155251141552511</v>
      </c>
      <c r="J47" s="1704"/>
    </row>
    <row r="48" spans="2:10">
      <c r="B48" s="1700">
        <v>10950</v>
      </c>
      <c r="C48" s="1696">
        <v>3150</v>
      </c>
      <c r="D48" s="1701">
        <f t="shared" si="0"/>
        <v>11000</v>
      </c>
      <c r="E48" s="1746">
        <f t="shared" si="7"/>
        <v>12500</v>
      </c>
      <c r="F48" s="1701">
        <f t="shared" si="1"/>
        <v>1550</v>
      </c>
      <c r="G48" s="1703">
        <f t="shared" si="2"/>
        <v>0.14155251141552511</v>
      </c>
      <c r="J48" s="1704"/>
    </row>
    <row r="49" spans="2:10">
      <c r="B49" s="1700">
        <v>11235.36</v>
      </c>
      <c r="C49" s="1696">
        <v>3150</v>
      </c>
      <c r="D49" s="1701">
        <f t="shared" si="0"/>
        <v>12000</v>
      </c>
      <c r="E49" s="1746">
        <f t="shared" si="7"/>
        <v>12500</v>
      </c>
      <c r="F49" s="1701">
        <f t="shared" si="1"/>
        <v>1264.6399999999994</v>
      </c>
      <c r="G49" s="1703">
        <f t="shared" si="2"/>
        <v>0.11255892112046248</v>
      </c>
      <c r="J49" s="1704"/>
    </row>
    <row r="50" spans="2:10">
      <c r="B50" s="1700">
        <v>11235.36</v>
      </c>
      <c r="C50" s="1696">
        <v>3150</v>
      </c>
      <c r="D50" s="1701">
        <f t="shared" si="0"/>
        <v>12000</v>
      </c>
      <c r="E50" s="1746">
        <f t="shared" si="7"/>
        <v>12500</v>
      </c>
      <c r="F50" s="1701">
        <f t="shared" si="1"/>
        <v>1264.6399999999994</v>
      </c>
      <c r="G50" s="1703">
        <f t="shared" si="2"/>
        <v>0.11255892112046248</v>
      </c>
      <c r="J50" s="1704"/>
    </row>
    <row r="51" spans="2:10">
      <c r="B51" s="1700">
        <v>11500</v>
      </c>
      <c r="C51" s="1696">
        <v>3150</v>
      </c>
      <c r="D51" s="1701">
        <f t="shared" si="0"/>
        <v>12000</v>
      </c>
      <c r="E51" s="1746">
        <f t="shared" si="7"/>
        <v>12500</v>
      </c>
      <c r="F51" s="1701">
        <f t="shared" si="1"/>
        <v>1000</v>
      </c>
      <c r="G51" s="1703">
        <f t="shared" si="2"/>
        <v>8.6956521739130432E-2</v>
      </c>
      <c r="J51" s="1704"/>
    </row>
    <row r="52" spans="2:10">
      <c r="B52" s="1700">
        <v>11500</v>
      </c>
      <c r="C52" s="1696">
        <v>3150</v>
      </c>
      <c r="D52" s="1701">
        <f t="shared" si="0"/>
        <v>12000</v>
      </c>
      <c r="E52" s="1746">
        <f t="shared" si="7"/>
        <v>12500</v>
      </c>
      <c r="F52" s="1701">
        <f t="shared" si="1"/>
        <v>1000</v>
      </c>
      <c r="G52" s="1703">
        <f t="shared" si="2"/>
        <v>8.6956521739130432E-2</v>
      </c>
      <c r="J52" s="1704"/>
    </row>
    <row r="53" spans="2:10">
      <c r="B53" s="1700">
        <v>11500</v>
      </c>
      <c r="C53" s="1696">
        <v>3150</v>
      </c>
      <c r="D53" s="1701">
        <f t="shared" si="0"/>
        <v>12000</v>
      </c>
      <c r="E53" s="1746">
        <f t="shared" si="7"/>
        <v>12500</v>
      </c>
      <c r="F53" s="1701">
        <f t="shared" si="1"/>
        <v>1000</v>
      </c>
      <c r="G53" s="1703">
        <f t="shared" si="2"/>
        <v>8.6956521739130432E-2</v>
      </c>
      <c r="J53" s="1704"/>
    </row>
    <row r="54" spans="2:10">
      <c r="B54" s="1700">
        <v>11508</v>
      </c>
      <c r="C54" s="1696">
        <v>3150</v>
      </c>
      <c r="D54" s="1701">
        <f t="shared" si="0"/>
        <v>12000</v>
      </c>
      <c r="E54" s="1746">
        <f t="shared" si="7"/>
        <v>12500</v>
      </c>
      <c r="F54" s="1701">
        <f t="shared" si="1"/>
        <v>992</v>
      </c>
      <c r="G54" s="1703">
        <f t="shared" si="2"/>
        <v>8.62009037191519E-2</v>
      </c>
      <c r="J54" s="1704"/>
    </row>
    <row r="55" spans="2:10">
      <c r="B55" s="1700">
        <v>11830</v>
      </c>
      <c r="C55" s="1696">
        <v>3150</v>
      </c>
      <c r="D55" s="1701">
        <f t="shared" si="0"/>
        <v>12000</v>
      </c>
      <c r="E55" s="1746">
        <f t="shared" si="7"/>
        <v>12500</v>
      </c>
      <c r="F55" s="1701">
        <f t="shared" si="1"/>
        <v>670</v>
      </c>
      <c r="G55" s="1703">
        <f t="shared" si="2"/>
        <v>5.6635672020287402E-2</v>
      </c>
      <c r="J55" s="1704"/>
    </row>
    <row r="56" spans="2:10">
      <c r="B56" s="1700">
        <v>11942</v>
      </c>
      <c r="C56" s="1696">
        <v>3150</v>
      </c>
      <c r="D56" s="1701">
        <f t="shared" si="0"/>
        <v>12000</v>
      </c>
      <c r="E56" s="1746">
        <f t="shared" si="7"/>
        <v>12500</v>
      </c>
      <c r="F56" s="1701">
        <f t="shared" si="1"/>
        <v>558</v>
      </c>
      <c r="G56" s="1703">
        <f t="shared" si="2"/>
        <v>4.6725841567576622E-2</v>
      </c>
      <c r="J56" s="1704"/>
    </row>
    <row r="57" spans="2:10">
      <c r="B57" s="1700">
        <v>12000</v>
      </c>
      <c r="C57" s="1696">
        <v>3150</v>
      </c>
      <c r="D57" s="1701">
        <f t="shared" si="0"/>
        <v>12000</v>
      </c>
      <c r="E57" s="1746">
        <f t="shared" si="7"/>
        <v>12500</v>
      </c>
      <c r="F57" s="1701">
        <f t="shared" si="1"/>
        <v>500</v>
      </c>
      <c r="G57" s="1703">
        <f t="shared" si="2"/>
        <v>4.1666666666666664E-2</v>
      </c>
      <c r="J57" s="1704"/>
    </row>
    <row r="58" spans="2:10">
      <c r="B58" s="1700">
        <v>12000</v>
      </c>
      <c r="C58" s="1696">
        <v>3150</v>
      </c>
      <c r="D58" s="1701">
        <f t="shared" si="0"/>
        <v>12000</v>
      </c>
      <c r="E58" s="1746">
        <f t="shared" si="7"/>
        <v>12500</v>
      </c>
      <c r="F58" s="1701">
        <f t="shared" si="1"/>
        <v>500</v>
      </c>
      <c r="G58" s="1703">
        <f t="shared" si="2"/>
        <v>4.1666666666666664E-2</v>
      </c>
      <c r="J58" s="1704"/>
    </row>
    <row r="59" spans="2:10">
      <c r="B59" s="1700">
        <v>12000</v>
      </c>
      <c r="C59" s="1696">
        <v>3150</v>
      </c>
      <c r="D59" s="1701">
        <f t="shared" si="0"/>
        <v>12000</v>
      </c>
      <c r="E59" s="1746">
        <f t="shared" si="7"/>
        <v>12500</v>
      </c>
      <c r="F59" s="1701">
        <f t="shared" si="1"/>
        <v>500</v>
      </c>
      <c r="G59" s="1703">
        <f t="shared" si="2"/>
        <v>4.1666666666666664E-2</v>
      </c>
      <c r="J59" s="1704"/>
    </row>
    <row r="60" spans="2:10">
      <c r="B60" s="1700">
        <v>12000</v>
      </c>
      <c r="C60" s="1696">
        <v>3150</v>
      </c>
      <c r="D60" s="1701">
        <f t="shared" si="0"/>
        <v>12000</v>
      </c>
      <c r="E60" s="1746">
        <f t="shared" si="7"/>
        <v>12500</v>
      </c>
      <c r="F60" s="1701">
        <f t="shared" si="1"/>
        <v>500</v>
      </c>
      <c r="G60" s="1703">
        <f t="shared" si="2"/>
        <v>4.1666666666666664E-2</v>
      </c>
      <c r="J60" s="1704"/>
    </row>
    <row r="61" spans="2:10">
      <c r="B61" s="1700">
        <v>12000</v>
      </c>
      <c r="C61" s="1696">
        <v>3150</v>
      </c>
      <c r="D61" s="1701">
        <f t="shared" si="0"/>
        <v>12000</v>
      </c>
      <c r="E61" s="1746">
        <f t="shared" si="7"/>
        <v>12500</v>
      </c>
      <c r="F61" s="1701">
        <f t="shared" si="1"/>
        <v>500</v>
      </c>
      <c r="G61" s="1703">
        <f t="shared" si="2"/>
        <v>4.1666666666666664E-2</v>
      </c>
      <c r="J61" s="1704"/>
    </row>
    <row r="62" spans="2:10">
      <c r="B62" s="1700">
        <v>12000</v>
      </c>
      <c r="C62" s="1696">
        <v>3288</v>
      </c>
      <c r="D62" s="1701">
        <f t="shared" si="0"/>
        <v>12000</v>
      </c>
      <c r="E62" s="1746">
        <f t="shared" si="7"/>
        <v>12500</v>
      </c>
      <c r="F62" s="1701">
        <f t="shared" si="1"/>
        <v>500</v>
      </c>
      <c r="G62" s="1703">
        <f t="shared" si="2"/>
        <v>4.1666666666666664E-2</v>
      </c>
      <c r="J62" s="1704"/>
    </row>
    <row r="63" spans="2:10">
      <c r="B63" s="1700">
        <v>12128.95</v>
      </c>
      <c r="C63" s="1696">
        <v>3150</v>
      </c>
      <c r="D63" s="1701">
        <f t="shared" si="0"/>
        <v>13000</v>
      </c>
      <c r="E63" s="1746">
        <f t="shared" si="7"/>
        <v>12500</v>
      </c>
      <c r="F63" s="1701">
        <f t="shared" si="1"/>
        <v>371.04999999999927</v>
      </c>
      <c r="G63" s="1703">
        <f t="shared" si="2"/>
        <v>3.0592095770862214E-2</v>
      </c>
      <c r="J63" s="1704"/>
    </row>
    <row r="64" spans="2:10">
      <c r="B64" s="1700">
        <v>12128.95</v>
      </c>
      <c r="C64" s="1696">
        <v>3288</v>
      </c>
      <c r="D64" s="1701">
        <f t="shared" si="0"/>
        <v>13000</v>
      </c>
      <c r="E64" s="1746">
        <f t="shared" si="7"/>
        <v>12500</v>
      </c>
      <c r="F64" s="1701">
        <f t="shared" si="1"/>
        <v>371.04999999999927</v>
      </c>
      <c r="G64" s="1703">
        <f t="shared" si="2"/>
        <v>3.0592095770862214E-2</v>
      </c>
      <c r="J64" s="1704"/>
    </row>
    <row r="65" spans="2:10">
      <c r="B65" s="1700">
        <v>12665.5</v>
      </c>
      <c r="C65" s="1696">
        <v>3150</v>
      </c>
      <c r="D65" s="1701">
        <f t="shared" si="0"/>
        <v>13000</v>
      </c>
      <c r="E65" s="1764">
        <f t="shared" ref="E65:E128" si="8">IF(B65&lt;15000,15000,15000)</f>
        <v>15000</v>
      </c>
      <c r="F65" s="1701">
        <f t="shared" si="1"/>
        <v>2334.5</v>
      </c>
      <c r="G65" s="1703">
        <f t="shared" si="2"/>
        <v>0.18431960838498282</v>
      </c>
      <c r="H65" s="1747">
        <v>75</v>
      </c>
      <c r="J65" s="1748">
        <f>AVERAGE(B65:B139)</f>
        <v>13927.635999999999</v>
      </c>
    </row>
    <row r="66" spans="2:10">
      <c r="B66" s="1700">
        <v>12665.5</v>
      </c>
      <c r="C66" s="1696">
        <v>3288</v>
      </c>
      <c r="D66" s="1701">
        <f t="shared" ref="D66:D129" si="9">ROUNDUP(B66,-3)</f>
        <v>13000</v>
      </c>
      <c r="E66" s="1764">
        <f t="shared" si="8"/>
        <v>15000</v>
      </c>
      <c r="F66" s="1701">
        <f t="shared" ref="F66:F129" si="10">E66-B66</f>
        <v>2334.5</v>
      </c>
      <c r="G66" s="1703">
        <f t="shared" ref="G66:G129" si="11">F66/B66</f>
        <v>0.18431960838498282</v>
      </c>
      <c r="J66" s="1704"/>
    </row>
    <row r="67" spans="2:10">
      <c r="B67" s="1700">
        <v>12775</v>
      </c>
      <c r="C67" s="1696">
        <v>3150</v>
      </c>
      <c r="D67" s="1701">
        <f t="shared" si="9"/>
        <v>13000</v>
      </c>
      <c r="E67" s="1764">
        <f t="shared" si="8"/>
        <v>15000</v>
      </c>
      <c r="F67" s="1701">
        <f t="shared" si="10"/>
        <v>2225</v>
      </c>
      <c r="G67" s="1703">
        <f t="shared" si="11"/>
        <v>0.17416829745596868</v>
      </c>
      <c r="J67" s="1704"/>
    </row>
    <row r="68" spans="2:10">
      <c r="B68" s="1700">
        <v>12775</v>
      </c>
      <c r="C68" s="1696">
        <v>3150</v>
      </c>
      <c r="D68" s="1701">
        <f t="shared" si="9"/>
        <v>13000</v>
      </c>
      <c r="E68" s="1764">
        <f t="shared" si="8"/>
        <v>15000</v>
      </c>
      <c r="F68" s="1701">
        <f t="shared" si="10"/>
        <v>2225</v>
      </c>
      <c r="G68" s="1703">
        <f t="shared" si="11"/>
        <v>0.17416829745596868</v>
      </c>
      <c r="J68" s="1704"/>
    </row>
    <row r="69" spans="2:10">
      <c r="B69" s="1700">
        <v>12775</v>
      </c>
      <c r="C69" s="1696">
        <v>3150</v>
      </c>
      <c r="D69" s="1701">
        <f t="shared" si="9"/>
        <v>13000</v>
      </c>
      <c r="E69" s="1764">
        <f t="shared" si="8"/>
        <v>15000</v>
      </c>
      <c r="F69" s="1701">
        <f t="shared" si="10"/>
        <v>2225</v>
      </c>
      <c r="G69" s="1703">
        <f t="shared" si="11"/>
        <v>0.17416829745596868</v>
      </c>
      <c r="J69" s="1704"/>
    </row>
    <row r="70" spans="2:10">
      <c r="B70" s="1700">
        <v>12775</v>
      </c>
      <c r="C70" s="1696">
        <v>3150</v>
      </c>
      <c r="D70" s="1701">
        <f t="shared" si="9"/>
        <v>13000</v>
      </c>
      <c r="E70" s="1764">
        <f t="shared" si="8"/>
        <v>15000</v>
      </c>
      <c r="F70" s="1701">
        <f t="shared" si="10"/>
        <v>2225</v>
      </c>
      <c r="G70" s="1703">
        <f t="shared" si="11"/>
        <v>0.17416829745596868</v>
      </c>
      <c r="J70" s="1704"/>
    </row>
    <row r="71" spans="2:10">
      <c r="B71" s="1700">
        <v>12775</v>
      </c>
      <c r="C71" s="1696">
        <v>3150</v>
      </c>
      <c r="D71" s="1701">
        <f t="shared" si="9"/>
        <v>13000</v>
      </c>
      <c r="E71" s="1764">
        <f t="shared" si="8"/>
        <v>15000</v>
      </c>
      <c r="F71" s="1701">
        <f t="shared" si="10"/>
        <v>2225</v>
      </c>
      <c r="G71" s="1703">
        <f t="shared" si="11"/>
        <v>0.17416829745596868</v>
      </c>
      <c r="J71" s="1704"/>
    </row>
    <row r="72" spans="2:10">
      <c r="B72" s="1700">
        <v>12775</v>
      </c>
      <c r="C72" s="1696">
        <v>3150</v>
      </c>
      <c r="D72" s="1701">
        <f t="shared" si="9"/>
        <v>13000</v>
      </c>
      <c r="E72" s="1764">
        <f t="shared" si="8"/>
        <v>15000</v>
      </c>
      <c r="F72" s="1701">
        <f t="shared" si="10"/>
        <v>2225</v>
      </c>
      <c r="G72" s="1703">
        <f t="shared" si="11"/>
        <v>0.17416829745596868</v>
      </c>
      <c r="J72" s="1704"/>
    </row>
    <row r="73" spans="2:10">
      <c r="B73" s="1700">
        <v>12775</v>
      </c>
      <c r="C73" s="1696">
        <v>3288</v>
      </c>
      <c r="D73" s="1701">
        <f t="shared" si="9"/>
        <v>13000</v>
      </c>
      <c r="E73" s="1764">
        <f t="shared" si="8"/>
        <v>15000</v>
      </c>
      <c r="F73" s="1701">
        <f t="shared" si="10"/>
        <v>2225</v>
      </c>
      <c r="G73" s="1703">
        <f t="shared" si="11"/>
        <v>0.17416829745596868</v>
      </c>
      <c r="J73" s="1704"/>
    </row>
    <row r="74" spans="2:10">
      <c r="B74" s="1700">
        <v>12775</v>
      </c>
      <c r="C74" s="1696">
        <v>3288</v>
      </c>
      <c r="D74" s="1701">
        <f t="shared" si="9"/>
        <v>13000</v>
      </c>
      <c r="E74" s="1764">
        <f t="shared" si="8"/>
        <v>15000</v>
      </c>
      <c r="F74" s="1701">
        <f t="shared" si="10"/>
        <v>2225</v>
      </c>
      <c r="G74" s="1703">
        <f t="shared" si="11"/>
        <v>0.17416829745596868</v>
      </c>
      <c r="J74" s="1704"/>
    </row>
    <row r="75" spans="2:10">
      <c r="B75" s="1700">
        <v>12775</v>
      </c>
      <c r="C75" s="1696">
        <v>3288</v>
      </c>
      <c r="D75" s="1701">
        <f t="shared" si="9"/>
        <v>13000</v>
      </c>
      <c r="E75" s="1764">
        <f t="shared" si="8"/>
        <v>15000</v>
      </c>
      <c r="F75" s="1701">
        <f t="shared" si="10"/>
        <v>2225</v>
      </c>
      <c r="G75" s="1703">
        <f t="shared" si="11"/>
        <v>0.17416829745596868</v>
      </c>
      <c r="J75" s="1704"/>
    </row>
    <row r="76" spans="2:10">
      <c r="B76" s="1700">
        <v>12775</v>
      </c>
      <c r="C76" s="1696">
        <v>3288</v>
      </c>
      <c r="D76" s="1701">
        <f t="shared" si="9"/>
        <v>13000</v>
      </c>
      <c r="E76" s="1764">
        <f t="shared" si="8"/>
        <v>15000</v>
      </c>
      <c r="F76" s="1701">
        <f t="shared" si="10"/>
        <v>2225</v>
      </c>
      <c r="G76" s="1703">
        <f t="shared" si="11"/>
        <v>0.17416829745596868</v>
      </c>
      <c r="J76" s="1704"/>
    </row>
    <row r="77" spans="2:10">
      <c r="B77" s="1700">
        <v>12775</v>
      </c>
      <c r="C77" s="1696">
        <v>3288</v>
      </c>
      <c r="D77" s="1701">
        <f t="shared" si="9"/>
        <v>13000</v>
      </c>
      <c r="E77" s="1764">
        <f t="shared" si="8"/>
        <v>15000</v>
      </c>
      <c r="F77" s="1701">
        <f t="shared" si="10"/>
        <v>2225</v>
      </c>
      <c r="G77" s="1703">
        <f t="shared" si="11"/>
        <v>0.17416829745596868</v>
      </c>
      <c r="J77" s="1704"/>
    </row>
    <row r="78" spans="2:10">
      <c r="B78" s="1700">
        <v>13200</v>
      </c>
      <c r="C78" s="1696">
        <v>3150</v>
      </c>
      <c r="D78" s="1701">
        <f t="shared" si="9"/>
        <v>14000</v>
      </c>
      <c r="E78" s="1764">
        <f t="shared" si="8"/>
        <v>15000</v>
      </c>
      <c r="F78" s="1701">
        <f t="shared" si="10"/>
        <v>1800</v>
      </c>
      <c r="G78" s="1703">
        <f t="shared" si="11"/>
        <v>0.13636363636363635</v>
      </c>
      <c r="J78" s="1704"/>
    </row>
    <row r="79" spans="2:10">
      <c r="B79" s="1700">
        <v>13200</v>
      </c>
      <c r="C79" s="1696">
        <v>3150</v>
      </c>
      <c r="D79" s="1701">
        <f t="shared" si="9"/>
        <v>14000</v>
      </c>
      <c r="E79" s="1764">
        <f t="shared" si="8"/>
        <v>15000</v>
      </c>
      <c r="F79" s="1701">
        <f t="shared" si="10"/>
        <v>1800</v>
      </c>
      <c r="G79" s="1703">
        <f t="shared" si="11"/>
        <v>0.13636363636363635</v>
      </c>
      <c r="J79" s="1704"/>
    </row>
    <row r="80" spans="2:10">
      <c r="B80" s="1700">
        <v>13340</v>
      </c>
      <c r="C80" s="1696">
        <v>3150</v>
      </c>
      <c r="D80" s="1701">
        <f t="shared" si="9"/>
        <v>14000</v>
      </c>
      <c r="E80" s="1764">
        <f t="shared" si="8"/>
        <v>15000</v>
      </c>
      <c r="F80" s="1701">
        <f t="shared" si="10"/>
        <v>1660</v>
      </c>
      <c r="G80" s="1703">
        <f t="shared" si="11"/>
        <v>0.12443778110944528</v>
      </c>
      <c r="J80" s="1704"/>
    </row>
    <row r="81" spans="2:10">
      <c r="B81" s="1700">
        <v>13548.8</v>
      </c>
      <c r="C81" s="1696">
        <v>3150</v>
      </c>
      <c r="D81" s="1701">
        <f t="shared" si="9"/>
        <v>14000</v>
      </c>
      <c r="E81" s="1764">
        <f t="shared" si="8"/>
        <v>15000</v>
      </c>
      <c r="F81" s="1701">
        <f t="shared" si="10"/>
        <v>1451.2000000000007</v>
      </c>
      <c r="G81" s="1703">
        <f t="shared" si="11"/>
        <v>0.1071091166745395</v>
      </c>
      <c r="J81" s="1704"/>
    </row>
    <row r="82" spans="2:10">
      <c r="B82" s="1700">
        <v>13755</v>
      </c>
      <c r="C82" s="1696">
        <v>3150</v>
      </c>
      <c r="D82" s="1701">
        <f t="shared" si="9"/>
        <v>14000</v>
      </c>
      <c r="E82" s="1764">
        <f t="shared" si="8"/>
        <v>15000</v>
      </c>
      <c r="F82" s="1701">
        <f t="shared" si="10"/>
        <v>1245</v>
      </c>
      <c r="G82" s="1703">
        <f t="shared" si="11"/>
        <v>9.0512540894220284E-2</v>
      </c>
      <c r="J82" s="1704"/>
    </row>
    <row r="83" spans="2:10">
      <c r="B83" s="1700">
        <v>13755</v>
      </c>
      <c r="C83" s="1696">
        <v>3150</v>
      </c>
      <c r="D83" s="1701">
        <f t="shared" si="9"/>
        <v>14000</v>
      </c>
      <c r="E83" s="1764">
        <f t="shared" si="8"/>
        <v>15000</v>
      </c>
      <c r="F83" s="1701">
        <f t="shared" si="10"/>
        <v>1245</v>
      </c>
      <c r="G83" s="1703">
        <f t="shared" si="11"/>
        <v>9.0512540894220284E-2</v>
      </c>
      <c r="J83" s="1704"/>
    </row>
    <row r="84" spans="2:10">
      <c r="B84" s="1700">
        <v>13755</v>
      </c>
      <c r="C84" s="1696">
        <v>3150</v>
      </c>
      <c r="D84" s="1701">
        <f t="shared" si="9"/>
        <v>14000</v>
      </c>
      <c r="E84" s="1764">
        <f t="shared" si="8"/>
        <v>15000</v>
      </c>
      <c r="F84" s="1701">
        <f t="shared" si="10"/>
        <v>1245</v>
      </c>
      <c r="G84" s="1703">
        <f t="shared" si="11"/>
        <v>9.0512540894220284E-2</v>
      </c>
      <c r="J84" s="1704"/>
    </row>
    <row r="85" spans="2:10">
      <c r="B85" s="1700">
        <v>13755</v>
      </c>
      <c r="C85" s="1696">
        <v>3150</v>
      </c>
      <c r="D85" s="1701">
        <f t="shared" si="9"/>
        <v>14000</v>
      </c>
      <c r="E85" s="1764">
        <f t="shared" si="8"/>
        <v>15000</v>
      </c>
      <c r="F85" s="1701">
        <f t="shared" si="10"/>
        <v>1245</v>
      </c>
      <c r="G85" s="1703">
        <f t="shared" si="11"/>
        <v>9.0512540894220284E-2</v>
      </c>
      <c r="J85" s="1704"/>
    </row>
    <row r="86" spans="2:10">
      <c r="B86" s="1700">
        <v>13755</v>
      </c>
      <c r="C86" s="1696">
        <v>3150</v>
      </c>
      <c r="D86" s="1701">
        <f t="shared" si="9"/>
        <v>14000</v>
      </c>
      <c r="E86" s="1764">
        <f t="shared" si="8"/>
        <v>15000</v>
      </c>
      <c r="F86" s="1701">
        <f t="shared" si="10"/>
        <v>1245</v>
      </c>
      <c r="G86" s="1703">
        <f t="shared" si="11"/>
        <v>9.0512540894220284E-2</v>
      </c>
      <c r="J86" s="1704"/>
    </row>
    <row r="87" spans="2:10">
      <c r="B87" s="1700">
        <v>13755</v>
      </c>
      <c r="C87" s="1696">
        <v>3150</v>
      </c>
      <c r="D87" s="1701">
        <f t="shared" si="9"/>
        <v>14000</v>
      </c>
      <c r="E87" s="1764">
        <f t="shared" si="8"/>
        <v>15000</v>
      </c>
      <c r="F87" s="1701">
        <f t="shared" si="10"/>
        <v>1245</v>
      </c>
      <c r="G87" s="1703">
        <f t="shared" si="11"/>
        <v>9.0512540894220284E-2</v>
      </c>
      <c r="J87" s="1704"/>
    </row>
    <row r="88" spans="2:10">
      <c r="B88" s="1700">
        <v>13755</v>
      </c>
      <c r="C88" s="1696">
        <v>3150</v>
      </c>
      <c r="D88" s="1701">
        <f t="shared" si="9"/>
        <v>14000</v>
      </c>
      <c r="E88" s="1764">
        <f t="shared" si="8"/>
        <v>15000</v>
      </c>
      <c r="F88" s="1701">
        <f t="shared" si="10"/>
        <v>1245</v>
      </c>
      <c r="G88" s="1703">
        <f t="shared" si="11"/>
        <v>9.0512540894220284E-2</v>
      </c>
      <c r="J88" s="1704"/>
    </row>
    <row r="89" spans="2:10">
      <c r="B89" s="1700">
        <v>13755</v>
      </c>
      <c r="C89" s="1696">
        <v>3150</v>
      </c>
      <c r="D89" s="1701">
        <f t="shared" si="9"/>
        <v>14000</v>
      </c>
      <c r="E89" s="1764">
        <f t="shared" si="8"/>
        <v>15000</v>
      </c>
      <c r="F89" s="1701">
        <f t="shared" si="10"/>
        <v>1245</v>
      </c>
      <c r="G89" s="1703">
        <f t="shared" si="11"/>
        <v>9.0512540894220284E-2</v>
      </c>
      <c r="J89" s="1704"/>
    </row>
    <row r="90" spans="2:10">
      <c r="B90" s="1700">
        <v>13755</v>
      </c>
      <c r="C90" s="1696">
        <v>3150</v>
      </c>
      <c r="D90" s="1701">
        <f t="shared" si="9"/>
        <v>14000</v>
      </c>
      <c r="E90" s="1764">
        <f t="shared" si="8"/>
        <v>15000</v>
      </c>
      <c r="F90" s="1701">
        <f t="shared" si="10"/>
        <v>1245</v>
      </c>
      <c r="G90" s="1703">
        <f t="shared" si="11"/>
        <v>9.0512540894220284E-2</v>
      </c>
      <c r="J90" s="1704"/>
    </row>
    <row r="91" spans="2:10">
      <c r="B91" s="1700">
        <v>13755</v>
      </c>
      <c r="C91" s="1696">
        <v>3150</v>
      </c>
      <c r="D91" s="1701">
        <f t="shared" si="9"/>
        <v>14000</v>
      </c>
      <c r="E91" s="1764">
        <f t="shared" si="8"/>
        <v>15000</v>
      </c>
      <c r="F91" s="1701">
        <f t="shared" si="10"/>
        <v>1245</v>
      </c>
      <c r="G91" s="1703">
        <f t="shared" si="11"/>
        <v>9.0512540894220284E-2</v>
      </c>
      <c r="J91" s="1704"/>
    </row>
    <row r="92" spans="2:10">
      <c r="B92" s="1700">
        <v>13755</v>
      </c>
      <c r="C92" s="1696">
        <v>3150</v>
      </c>
      <c r="D92" s="1701">
        <f t="shared" si="9"/>
        <v>14000</v>
      </c>
      <c r="E92" s="1764">
        <f t="shared" si="8"/>
        <v>15000</v>
      </c>
      <c r="F92" s="1701">
        <f t="shared" si="10"/>
        <v>1245</v>
      </c>
      <c r="G92" s="1703">
        <f t="shared" si="11"/>
        <v>9.0512540894220284E-2</v>
      </c>
      <c r="J92" s="1704"/>
    </row>
    <row r="93" spans="2:10">
      <c r="B93" s="1700">
        <v>13755</v>
      </c>
      <c r="C93" s="1696">
        <v>3150</v>
      </c>
      <c r="D93" s="1701">
        <f t="shared" si="9"/>
        <v>14000</v>
      </c>
      <c r="E93" s="1764">
        <f t="shared" si="8"/>
        <v>15000</v>
      </c>
      <c r="F93" s="1701">
        <f t="shared" si="10"/>
        <v>1245</v>
      </c>
      <c r="G93" s="1703">
        <f t="shared" si="11"/>
        <v>9.0512540894220284E-2</v>
      </c>
      <c r="J93" s="1704"/>
    </row>
    <row r="94" spans="2:10">
      <c r="B94" s="1700">
        <v>13767.8</v>
      </c>
      <c r="C94" s="1696">
        <v>3150</v>
      </c>
      <c r="D94" s="1701">
        <f t="shared" si="9"/>
        <v>14000</v>
      </c>
      <c r="E94" s="1764">
        <f t="shared" si="8"/>
        <v>15000</v>
      </c>
      <c r="F94" s="1701">
        <f t="shared" si="10"/>
        <v>1232.2000000000007</v>
      </c>
      <c r="G94" s="1703">
        <f t="shared" si="11"/>
        <v>8.9498685338253087E-2</v>
      </c>
      <c r="J94" s="1704"/>
    </row>
    <row r="95" spans="2:10">
      <c r="B95" s="1700">
        <v>13870</v>
      </c>
      <c r="C95" s="1696">
        <v>3150</v>
      </c>
      <c r="D95" s="1701">
        <f t="shared" si="9"/>
        <v>14000</v>
      </c>
      <c r="E95" s="1764">
        <f t="shared" si="8"/>
        <v>15000</v>
      </c>
      <c r="F95" s="1701">
        <f t="shared" si="10"/>
        <v>1130</v>
      </c>
      <c r="G95" s="1703">
        <f t="shared" si="11"/>
        <v>8.1470800288392209E-2</v>
      </c>
      <c r="J95" s="1704"/>
    </row>
    <row r="96" spans="2:10">
      <c r="B96" s="1700">
        <v>13870</v>
      </c>
      <c r="C96" s="1696">
        <v>3150</v>
      </c>
      <c r="D96" s="1701">
        <f t="shared" si="9"/>
        <v>14000</v>
      </c>
      <c r="E96" s="1764">
        <f t="shared" si="8"/>
        <v>15000</v>
      </c>
      <c r="F96" s="1701">
        <f t="shared" si="10"/>
        <v>1130</v>
      </c>
      <c r="G96" s="1703">
        <f t="shared" si="11"/>
        <v>8.1470800288392209E-2</v>
      </c>
      <c r="J96" s="1704"/>
    </row>
    <row r="97" spans="2:10">
      <c r="B97" s="1700">
        <v>14035</v>
      </c>
      <c r="C97" s="1696">
        <v>3150</v>
      </c>
      <c r="D97" s="1701">
        <f t="shared" si="9"/>
        <v>15000</v>
      </c>
      <c r="E97" s="1764">
        <f t="shared" si="8"/>
        <v>15000</v>
      </c>
      <c r="F97" s="1701">
        <f t="shared" si="10"/>
        <v>965</v>
      </c>
      <c r="G97" s="1703">
        <f t="shared" si="11"/>
        <v>6.8756679729248302E-2</v>
      </c>
      <c r="J97" s="1704"/>
    </row>
    <row r="98" spans="2:10">
      <c r="B98" s="1700">
        <v>14035</v>
      </c>
      <c r="C98" s="1696">
        <v>3150</v>
      </c>
      <c r="D98" s="1701">
        <f t="shared" si="9"/>
        <v>15000</v>
      </c>
      <c r="E98" s="1764">
        <f t="shared" si="8"/>
        <v>15000</v>
      </c>
      <c r="F98" s="1701">
        <f t="shared" si="10"/>
        <v>965</v>
      </c>
      <c r="G98" s="1703">
        <f t="shared" si="11"/>
        <v>6.8756679729248302E-2</v>
      </c>
      <c r="J98" s="1704"/>
    </row>
    <row r="99" spans="2:10">
      <c r="B99" s="1700">
        <v>14035</v>
      </c>
      <c r="C99" s="1696">
        <v>3150</v>
      </c>
      <c r="D99" s="1701">
        <f t="shared" si="9"/>
        <v>15000</v>
      </c>
      <c r="E99" s="1764">
        <f t="shared" si="8"/>
        <v>15000</v>
      </c>
      <c r="F99" s="1701">
        <f t="shared" si="10"/>
        <v>965</v>
      </c>
      <c r="G99" s="1703">
        <f t="shared" si="11"/>
        <v>6.8756679729248302E-2</v>
      </c>
      <c r="J99" s="1704"/>
    </row>
    <row r="100" spans="2:10">
      <c r="B100" s="1700">
        <v>14035</v>
      </c>
      <c r="C100" s="1696">
        <v>3150</v>
      </c>
      <c r="D100" s="1701">
        <f t="shared" si="9"/>
        <v>15000</v>
      </c>
      <c r="E100" s="1764">
        <f t="shared" si="8"/>
        <v>15000</v>
      </c>
      <c r="F100" s="1701">
        <f t="shared" si="10"/>
        <v>965</v>
      </c>
      <c r="G100" s="1703">
        <f t="shared" si="11"/>
        <v>6.8756679729248302E-2</v>
      </c>
      <c r="J100" s="1704"/>
    </row>
    <row r="101" spans="2:10">
      <c r="B101" s="1700">
        <v>14035</v>
      </c>
      <c r="C101" s="1696">
        <v>3150</v>
      </c>
      <c r="D101" s="1701">
        <f t="shared" si="9"/>
        <v>15000</v>
      </c>
      <c r="E101" s="1764">
        <f t="shared" si="8"/>
        <v>15000</v>
      </c>
      <c r="F101" s="1701">
        <f t="shared" si="10"/>
        <v>965</v>
      </c>
      <c r="G101" s="1703">
        <f t="shared" si="11"/>
        <v>6.8756679729248302E-2</v>
      </c>
      <c r="J101" s="1704"/>
    </row>
    <row r="102" spans="2:10">
      <c r="B102" s="1700">
        <v>14035</v>
      </c>
      <c r="C102" s="1696">
        <v>3150</v>
      </c>
      <c r="D102" s="1701">
        <f t="shared" si="9"/>
        <v>15000</v>
      </c>
      <c r="E102" s="1764">
        <f t="shared" si="8"/>
        <v>15000</v>
      </c>
      <c r="F102" s="1701">
        <f t="shared" si="10"/>
        <v>965</v>
      </c>
      <c r="G102" s="1703">
        <f t="shared" si="11"/>
        <v>6.8756679729248302E-2</v>
      </c>
      <c r="J102" s="1704"/>
    </row>
    <row r="103" spans="2:10">
      <c r="B103" s="1700">
        <v>14035</v>
      </c>
      <c r="C103" s="1696">
        <v>3150</v>
      </c>
      <c r="D103" s="1701">
        <f t="shared" si="9"/>
        <v>15000</v>
      </c>
      <c r="E103" s="1764">
        <f t="shared" si="8"/>
        <v>15000</v>
      </c>
      <c r="F103" s="1701">
        <f t="shared" si="10"/>
        <v>965</v>
      </c>
      <c r="G103" s="1703">
        <f t="shared" si="11"/>
        <v>6.8756679729248302E-2</v>
      </c>
      <c r="J103" s="1704"/>
    </row>
    <row r="104" spans="2:10">
      <c r="B104" s="1700">
        <v>14035</v>
      </c>
      <c r="C104" s="1696">
        <v>3150</v>
      </c>
      <c r="D104" s="1701">
        <f t="shared" si="9"/>
        <v>15000</v>
      </c>
      <c r="E104" s="1764">
        <f t="shared" si="8"/>
        <v>15000</v>
      </c>
      <c r="F104" s="1701">
        <f t="shared" si="10"/>
        <v>965</v>
      </c>
      <c r="G104" s="1703">
        <f t="shared" si="11"/>
        <v>6.8756679729248302E-2</v>
      </c>
      <c r="J104" s="1704"/>
    </row>
    <row r="105" spans="2:10">
      <c r="B105" s="1700">
        <v>14035</v>
      </c>
      <c r="C105" s="1696">
        <v>3150</v>
      </c>
      <c r="D105" s="1701">
        <f t="shared" si="9"/>
        <v>15000</v>
      </c>
      <c r="E105" s="1764">
        <f t="shared" si="8"/>
        <v>15000</v>
      </c>
      <c r="F105" s="1701">
        <f t="shared" si="10"/>
        <v>965</v>
      </c>
      <c r="G105" s="1703">
        <f t="shared" si="11"/>
        <v>6.8756679729248302E-2</v>
      </c>
      <c r="J105" s="1704"/>
    </row>
    <row r="106" spans="2:10">
      <c r="B106" s="1700">
        <v>14035</v>
      </c>
      <c r="C106" s="1696">
        <v>3150</v>
      </c>
      <c r="D106" s="1701">
        <f t="shared" si="9"/>
        <v>15000</v>
      </c>
      <c r="E106" s="1764">
        <f t="shared" si="8"/>
        <v>15000</v>
      </c>
      <c r="F106" s="1701">
        <f t="shared" si="10"/>
        <v>965</v>
      </c>
      <c r="G106" s="1703">
        <f t="shared" si="11"/>
        <v>6.8756679729248302E-2</v>
      </c>
      <c r="J106" s="1704"/>
    </row>
    <row r="107" spans="2:10">
      <c r="B107" s="1700">
        <v>14035</v>
      </c>
      <c r="C107" s="1696">
        <v>3150</v>
      </c>
      <c r="D107" s="1701">
        <f t="shared" si="9"/>
        <v>15000</v>
      </c>
      <c r="E107" s="1764">
        <f t="shared" si="8"/>
        <v>15000</v>
      </c>
      <c r="F107" s="1701">
        <f t="shared" si="10"/>
        <v>965</v>
      </c>
      <c r="G107" s="1703">
        <f t="shared" si="11"/>
        <v>6.8756679729248302E-2</v>
      </c>
      <c r="J107" s="1704"/>
    </row>
    <row r="108" spans="2:10">
      <c r="B108" s="1700">
        <v>14035</v>
      </c>
      <c r="C108" s="1696">
        <v>3150</v>
      </c>
      <c r="D108" s="1701">
        <f t="shared" si="9"/>
        <v>15000</v>
      </c>
      <c r="E108" s="1764">
        <f t="shared" si="8"/>
        <v>15000</v>
      </c>
      <c r="F108" s="1701">
        <f t="shared" si="10"/>
        <v>965</v>
      </c>
      <c r="G108" s="1703">
        <f t="shared" si="11"/>
        <v>6.8756679729248302E-2</v>
      </c>
      <c r="J108" s="1704"/>
    </row>
    <row r="109" spans="2:10">
      <c r="B109" s="1700">
        <v>14035</v>
      </c>
      <c r="C109" s="1696">
        <v>3150</v>
      </c>
      <c r="D109" s="1701">
        <f t="shared" si="9"/>
        <v>15000</v>
      </c>
      <c r="E109" s="1764">
        <f t="shared" si="8"/>
        <v>15000</v>
      </c>
      <c r="F109" s="1701">
        <f t="shared" si="10"/>
        <v>965</v>
      </c>
      <c r="G109" s="1703">
        <f t="shared" si="11"/>
        <v>6.8756679729248302E-2</v>
      </c>
      <c r="J109" s="1704"/>
    </row>
    <row r="110" spans="2:10">
      <c r="B110" s="1700">
        <v>14235</v>
      </c>
      <c r="C110" s="1696">
        <v>3150</v>
      </c>
      <c r="D110" s="1701">
        <f t="shared" si="9"/>
        <v>15000</v>
      </c>
      <c r="E110" s="1764">
        <f t="shared" si="8"/>
        <v>15000</v>
      </c>
      <c r="F110" s="1701">
        <f t="shared" si="10"/>
        <v>765</v>
      </c>
      <c r="G110" s="1703">
        <f t="shared" si="11"/>
        <v>5.3740779768177031E-2</v>
      </c>
      <c r="J110" s="1704"/>
    </row>
    <row r="111" spans="2:10">
      <c r="B111" s="1700">
        <v>14400</v>
      </c>
      <c r="C111" s="1696">
        <v>3150</v>
      </c>
      <c r="D111" s="1701">
        <f t="shared" si="9"/>
        <v>15000</v>
      </c>
      <c r="E111" s="1764">
        <f t="shared" si="8"/>
        <v>15000</v>
      </c>
      <c r="F111" s="1701">
        <f t="shared" si="10"/>
        <v>600</v>
      </c>
      <c r="G111" s="1703">
        <f t="shared" si="11"/>
        <v>4.1666666666666664E-2</v>
      </c>
      <c r="J111" s="1704"/>
    </row>
    <row r="112" spans="2:10">
      <c r="B112" s="1700">
        <v>14400</v>
      </c>
      <c r="C112" s="1696">
        <v>3150</v>
      </c>
      <c r="D112" s="1701">
        <f t="shared" si="9"/>
        <v>15000</v>
      </c>
      <c r="E112" s="1764">
        <f t="shared" si="8"/>
        <v>15000</v>
      </c>
      <c r="F112" s="1701">
        <f t="shared" si="10"/>
        <v>600</v>
      </c>
      <c r="G112" s="1703">
        <f t="shared" si="11"/>
        <v>4.1666666666666664E-2</v>
      </c>
      <c r="J112" s="1704"/>
    </row>
    <row r="113" spans="2:10">
      <c r="B113" s="1700">
        <v>14400</v>
      </c>
      <c r="C113" s="1696">
        <v>3150</v>
      </c>
      <c r="D113" s="1701">
        <f t="shared" si="9"/>
        <v>15000</v>
      </c>
      <c r="E113" s="1764">
        <f t="shared" si="8"/>
        <v>15000</v>
      </c>
      <c r="F113" s="1701">
        <f t="shared" si="10"/>
        <v>600</v>
      </c>
      <c r="G113" s="1703">
        <f t="shared" si="11"/>
        <v>4.1666666666666664E-2</v>
      </c>
      <c r="J113" s="1704"/>
    </row>
    <row r="114" spans="2:10">
      <c r="B114" s="1700">
        <v>14400</v>
      </c>
      <c r="C114" s="1696">
        <v>3150</v>
      </c>
      <c r="D114" s="1701">
        <f t="shared" si="9"/>
        <v>15000</v>
      </c>
      <c r="E114" s="1764">
        <f t="shared" si="8"/>
        <v>15000</v>
      </c>
      <c r="F114" s="1701">
        <f t="shared" si="10"/>
        <v>600</v>
      </c>
      <c r="G114" s="1703">
        <f t="shared" si="11"/>
        <v>4.1666666666666664E-2</v>
      </c>
      <c r="J114" s="1704"/>
    </row>
    <row r="115" spans="2:10">
      <c r="B115" s="1700">
        <v>14400</v>
      </c>
      <c r="C115" s="1696">
        <v>3150</v>
      </c>
      <c r="D115" s="1701">
        <f t="shared" si="9"/>
        <v>15000</v>
      </c>
      <c r="E115" s="1764">
        <f t="shared" si="8"/>
        <v>15000</v>
      </c>
      <c r="F115" s="1701">
        <f t="shared" si="10"/>
        <v>600</v>
      </c>
      <c r="G115" s="1703">
        <f t="shared" si="11"/>
        <v>4.1666666666666664E-2</v>
      </c>
      <c r="J115" s="1704"/>
    </row>
    <row r="116" spans="2:10">
      <c r="B116" s="1700">
        <v>14400</v>
      </c>
      <c r="C116" s="1696">
        <v>3150</v>
      </c>
      <c r="D116" s="1701">
        <f t="shared" si="9"/>
        <v>15000</v>
      </c>
      <c r="E116" s="1764">
        <f t="shared" si="8"/>
        <v>15000</v>
      </c>
      <c r="F116" s="1701">
        <f t="shared" si="10"/>
        <v>600</v>
      </c>
      <c r="G116" s="1703">
        <f t="shared" si="11"/>
        <v>4.1666666666666664E-2</v>
      </c>
      <c r="J116" s="1704"/>
    </row>
    <row r="117" spans="2:10">
      <c r="B117" s="1700">
        <v>14400</v>
      </c>
      <c r="C117" s="1696">
        <v>3150</v>
      </c>
      <c r="D117" s="1701">
        <f t="shared" si="9"/>
        <v>15000</v>
      </c>
      <c r="E117" s="1764">
        <f t="shared" si="8"/>
        <v>15000</v>
      </c>
      <c r="F117" s="1701">
        <f t="shared" si="10"/>
        <v>600</v>
      </c>
      <c r="G117" s="1703">
        <f t="shared" si="11"/>
        <v>4.1666666666666664E-2</v>
      </c>
      <c r="J117" s="1704"/>
    </row>
    <row r="118" spans="2:10">
      <c r="B118" s="1700">
        <v>14400</v>
      </c>
      <c r="C118" s="1696">
        <v>3150</v>
      </c>
      <c r="D118" s="1701">
        <f t="shared" si="9"/>
        <v>15000</v>
      </c>
      <c r="E118" s="1764">
        <f t="shared" si="8"/>
        <v>15000</v>
      </c>
      <c r="F118" s="1701">
        <f t="shared" si="10"/>
        <v>600</v>
      </c>
      <c r="G118" s="1703">
        <f t="shared" si="11"/>
        <v>4.1666666666666664E-2</v>
      </c>
      <c r="J118" s="1704"/>
    </row>
    <row r="119" spans="2:10">
      <c r="B119" s="1700">
        <v>14400</v>
      </c>
      <c r="C119" s="1696">
        <v>3150</v>
      </c>
      <c r="D119" s="1701">
        <f t="shared" si="9"/>
        <v>15000</v>
      </c>
      <c r="E119" s="1764">
        <f t="shared" si="8"/>
        <v>15000</v>
      </c>
      <c r="F119" s="1701">
        <f t="shared" si="10"/>
        <v>600</v>
      </c>
      <c r="G119" s="1703">
        <f t="shared" si="11"/>
        <v>4.1666666666666664E-2</v>
      </c>
      <c r="J119" s="1704"/>
    </row>
    <row r="120" spans="2:10">
      <c r="B120" s="1700">
        <v>14417.5</v>
      </c>
      <c r="C120" s="1696">
        <v>3150</v>
      </c>
      <c r="D120" s="1701">
        <f t="shared" si="9"/>
        <v>15000</v>
      </c>
      <c r="E120" s="1764">
        <f t="shared" si="8"/>
        <v>15000</v>
      </c>
      <c r="F120" s="1701">
        <f t="shared" si="10"/>
        <v>582.5</v>
      </c>
      <c r="G120" s="1703">
        <f t="shared" si="11"/>
        <v>4.0402288885035546E-2</v>
      </c>
      <c r="J120" s="1704"/>
    </row>
    <row r="121" spans="2:10">
      <c r="B121" s="1700">
        <v>14417.5</v>
      </c>
      <c r="C121" s="1696">
        <v>3288</v>
      </c>
      <c r="D121" s="1701">
        <f t="shared" si="9"/>
        <v>15000</v>
      </c>
      <c r="E121" s="1764">
        <f t="shared" si="8"/>
        <v>15000</v>
      </c>
      <c r="F121" s="1701">
        <f t="shared" si="10"/>
        <v>582.5</v>
      </c>
      <c r="G121" s="1703">
        <f t="shared" si="11"/>
        <v>4.0402288885035546E-2</v>
      </c>
      <c r="J121" s="1704"/>
    </row>
    <row r="122" spans="2:10">
      <c r="B122" s="1700">
        <v>14535</v>
      </c>
      <c r="C122" s="1696">
        <v>3150</v>
      </c>
      <c r="D122" s="1701">
        <f t="shared" si="9"/>
        <v>15000</v>
      </c>
      <c r="E122" s="1764">
        <f t="shared" si="8"/>
        <v>15000</v>
      </c>
      <c r="F122" s="1701">
        <f t="shared" si="10"/>
        <v>465</v>
      </c>
      <c r="G122" s="1703">
        <f t="shared" si="11"/>
        <v>3.1991744066047469E-2</v>
      </c>
      <c r="J122" s="1704"/>
    </row>
    <row r="123" spans="2:10">
      <c r="B123" s="1700">
        <v>14600</v>
      </c>
      <c r="C123" s="1696">
        <v>3150</v>
      </c>
      <c r="D123" s="1701">
        <f t="shared" si="9"/>
        <v>15000</v>
      </c>
      <c r="E123" s="1764">
        <f t="shared" si="8"/>
        <v>15000</v>
      </c>
      <c r="F123" s="1701">
        <f t="shared" si="10"/>
        <v>400</v>
      </c>
      <c r="G123" s="1703">
        <f t="shared" si="11"/>
        <v>2.7397260273972601E-2</v>
      </c>
      <c r="J123" s="1704"/>
    </row>
    <row r="124" spans="2:10">
      <c r="B124" s="1700">
        <v>14600</v>
      </c>
      <c r="C124" s="1696">
        <v>3150</v>
      </c>
      <c r="D124" s="1701">
        <f t="shared" si="9"/>
        <v>15000</v>
      </c>
      <c r="E124" s="1764">
        <f t="shared" si="8"/>
        <v>15000</v>
      </c>
      <c r="F124" s="1701">
        <f t="shared" si="10"/>
        <v>400</v>
      </c>
      <c r="G124" s="1703">
        <f t="shared" si="11"/>
        <v>2.7397260273972601E-2</v>
      </c>
      <c r="J124" s="1704"/>
    </row>
    <row r="125" spans="2:10">
      <c r="B125" s="1700">
        <v>14600</v>
      </c>
      <c r="C125" s="1696">
        <v>3150</v>
      </c>
      <c r="D125" s="1701">
        <f t="shared" si="9"/>
        <v>15000</v>
      </c>
      <c r="E125" s="1764">
        <f t="shared" si="8"/>
        <v>15000</v>
      </c>
      <c r="F125" s="1701">
        <f t="shared" si="10"/>
        <v>400</v>
      </c>
      <c r="G125" s="1703">
        <f t="shared" si="11"/>
        <v>2.7397260273972601E-2</v>
      </c>
      <c r="J125" s="1704"/>
    </row>
    <row r="126" spans="2:10">
      <c r="B126" s="1700">
        <v>14600</v>
      </c>
      <c r="C126" s="1696">
        <v>3150</v>
      </c>
      <c r="D126" s="1701">
        <f t="shared" si="9"/>
        <v>15000</v>
      </c>
      <c r="E126" s="1764">
        <f t="shared" si="8"/>
        <v>15000</v>
      </c>
      <c r="F126" s="1701">
        <f t="shared" si="10"/>
        <v>400</v>
      </c>
      <c r="G126" s="1703">
        <f t="shared" si="11"/>
        <v>2.7397260273972601E-2</v>
      </c>
      <c r="J126" s="1704"/>
    </row>
    <row r="127" spans="2:10">
      <c r="B127" s="1700">
        <v>14600</v>
      </c>
      <c r="C127" s="1696">
        <v>3150</v>
      </c>
      <c r="D127" s="1701">
        <f t="shared" si="9"/>
        <v>15000</v>
      </c>
      <c r="E127" s="1764">
        <f t="shared" si="8"/>
        <v>15000</v>
      </c>
      <c r="F127" s="1701">
        <f t="shared" si="10"/>
        <v>400</v>
      </c>
      <c r="G127" s="1703">
        <f t="shared" si="11"/>
        <v>2.7397260273972601E-2</v>
      </c>
      <c r="J127" s="1704"/>
    </row>
    <row r="128" spans="2:10">
      <c r="B128" s="1700">
        <v>14600</v>
      </c>
      <c r="C128" s="1696">
        <v>3150</v>
      </c>
      <c r="D128" s="1701">
        <f t="shared" si="9"/>
        <v>15000</v>
      </c>
      <c r="E128" s="1764">
        <f t="shared" si="8"/>
        <v>15000</v>
      </c>
      <c r="F128" s="1701">
        <f t="shared" si="10"/>
        <v>400</v>
      </c>
      <c r="G128" s="1703">
        <f t="shared" si="11"/>
        <v>2.7397260273972601E-2</v>
      </c>
      <c r="J128" s="1704"/>
    </row>
    <row r="129" spans="2:10">
      <c r="B129" s="1700">
        <v>14600</v>
      </c>
      <c r="C129" s="1696">
        <v>3150</v>
      </c>
      <c r="D129" s="1701">
        <f t="shared" si="9"/>
        <v>15000</v>
      </c>
      <c r="E129" s="1764">
        <f t="shared" ref="E129:E139" si="12">IF(B129&lt;15000,15000,15000)</f>
        <v>15000</v>
      </c>
      <c r="F129" s="1701">
        <f t="shared" si="10"/>
        <v>400</v>
      </c>
      <c r="G129" s="1703">
        <f t="shared" si="11"/>
        <v>2.7397260273972601E-2</v>
      </c>
      <c r="J129" s="1704"/>
    </row>
    <row r="130" spans="2:10">
      <c r="B130" s="1700">
        <v>14600</v>
      </c>
      <c r="C130" s="1696">
        <v>3150</v>
      </c>
      <c r="D130" s="1701">
        <f t="shared" ref="D130:D193" si="13">ROUNDUP(B130,-3)</f>
        <v>15000</v>
      </c>
      <c r="E130" s="1764">
        <f t="shared" si="12"/>
        <v>15000</v>
      </c>
      <c r="F130" s="1701">
        <f t="shared" ref="F130:F193" si="14">E130-B130</f>
        <v>400</v>
      </c>
      <c r="G130" s="1703">
        <f t="shared" ref="G130:G193" si="15">F130/B130</f>
        <v>2.7397260273972601E-2</v>
      </c>
      <c r="J130" s="1704"/>
    </row>
    <row r="131" spans="2:10">
      <c r="B131" s="1700">
        <v>14600</v>
      </c>
      <c r="C131" s="1696">
        <v>3150</v>
      </c>
      <c r="D131" s="1701">
        <f t="shared" si="13"/>
        <v>15000</v>
      </c>
      <c r="E131" s="1764">
        <f t="shared" si="12"/>
        <v>15000</v>
      </c>
      <c r="F131" s="1701">
        <f t="shared" si="14"/>
        <v>400</v>
      </c>
      <c r="G131" s="1703">
        <f t="shared" si="15"/>
        <v>2.7397260273972601E-2</v>
      </c>
      <c r="J131" s="1704"/>
    </row>
    <row r="132" spans="2:10">
      <c r="B132" s="1700">
        <v>14600</v>
      </c>
      <c r="C132" s="1696">
        <v>3150</v>
      </c>
      <c r="D132" s="1701">
        <f t="shared" si="13"/>
        <v>15000</v>
      </c>
      <c r="E132" s="1764">
        <f t="shared" si="12"/>
        <v>15000</v>
      </c>
      <c r="F132" s="1701">
        <f t="shared" si="14"/>
        <v>400</v>
      </c>
      <c r="G132" s="1703">
        <f t="shared" si="15"/>
        <v>2.7397260273972601E-2</v>
      </c>
      <c r="J132" s="1704"/>
    </row>
    <row r="133" spans="2:10">
      <c r="B133" s="1700">
        <v>14600</v>
      </c>
      <c r="C133" s="1696">
        <v>3288</v>
      </c>
      <c r="D133" s="1701">
        <f t="shared" si="13"/>
        <v>15000</v>
      </c>
      <c r="E133" s="1764">
        <f t="shared" si="12"/>
        <v>15000</v>
      </c>
      <c r="F133" s="1701">
        <f t="shared" si="14"/>
        <v>400</v>
      </c>
      <c r="G133" s="1703">
        <f t="shared" si="15"/>
        <v>2.7397260273972601E-2</v>
      </c>
      <c r="J133" s="1704"/>
    </row>
    <row r="134" spans="2:10">
      <c r="B134" s="1700">
        <v>14600</v>
      </c>
      <c r="C134" s="1696">
        <v>3288</v>
      </c>
      <c r="D134" s="1701">
        <f t="shared" si="13"/>
        <v>15000</v>
      </c>
      <c r="E134" s="1764">
        <f t="shared" si="12"/>
        <v>15000</v>
      </c>
      <c r="F134" s="1701">
        <f t="shared" si="14"/>
        <v>400</v>
      </c>
      <c r="G134" s="1703">
        <f t="shared" si="15"/>
        <v>2.7397260273972601E-2</v>
      </c>
      <c r="J134" s="1704"/>
    </row>
    <row r="135" spans="2:10">
      <c r="B135" s="1700">
        <v>14600</v>
      </c>
      <c r="C135" s="1696">
        <v>3288</v>
      </c>
      <c r="D135" s="1701">
        <f t="shared" si="13"/>
        <v>15000</v>
      </c>
      <c r="E135" s="1764">
        <f t="shared" si="12"/>
        <v>15000</v>
      </c>
      <c r="F135" s="1701">
        <f t="shared" si="14"/>
        <v>400</v>
      </c>
      <c r="G135" s="1703">
        <f t="shared" si="15"/>
        <v>2.7397260273972601E-2</v>
      </c>
      <c r="J135" s="1704"/>
    </row>
    <row r="136" spans="2:10">
      <c r="B136" s="1700">
        <v>14600</v>
      </c>
      <c r="C136" s="1696">
        <v>3288</v>
      </c>
      <c r="D136" s="1701">
        <f t="shared" si="13"/>
        <v>15000</v>
      </c>
      <c r="E136" s="1764">
        <f t="shared" si="12"/>
        <v>15000</v>
      </c>
      <c r="F136" s="1701">
        <f t="shared" si="14"/>
        <v>400</v>
      </c>
      <c r="G136" s="1703">
        <f t="shared" si="15"/>
        <v>2.7397260273972601E-2</v>
      </c>
      <c r="J136" s="1704"/>
    </row>
    <row r="137" spans="2:10">
      <c r="B137" s="1700">
        <v>14870.1</v>
      </c>
      <c r="C137" s="1696">
        <v>3150</v>
      </c>
      <c r="D137" s="1701">
        <f t="shared" si="13"/>
        <v>15000</v>
      </c>
      <c r="E137" s="1764">
        <f t="shared" si="12"/>
        <v>15000</v>
      </c>
      <c r="F137" s="1701">
        <f t="shared" si="14"/>
        <v>129.89999999999964</v>
      </c>
      <c r="G137" s="1703">
        <f t="shared" si="15"/>
        <v>8.7356507353682639E-3</v>
      </c>
      <c r="J137" s="1704"/>
    </row>
    <row r="138" spans="2:10">
      <c r="B138" s="1700">
        <v>14965</v>
      </c>
      <c r="C138" s="1696">
        <v>3150</v>
      </c>
      <c r="D138" s="1701">
        <f t="shared" si="13"/>
        <v>15000</v>
      </c>
      <c r="E138" s="1764">
        <f t="shared" si="12"/>
        <v>15000</v>
      </c>
      <c r="F138" s="1701">
        <f t="shared" si="14"/>
        <v>35</v>
      </c>
      <c r="G138" s="1703">
        <f t="shared" si="15"/>
        <v>2.3387905111927833E-3</v>
      </c>
      <c r="J138" s="1704"/>
    </row>
    <row r="139" spans="2:10">
      <c r="B139" s="1700">
        <v>14965</v>
      </c>
      <c r="C139" s="1696">
        <v>3288</v>
      </c>
      <c r="D139" s="1701">
        <f t="shared" si="13"/>
        <v>15000</v>
      </c>
      <c r="E139" s="1764">
        <f t="shared" si="12"/>
        <v>15000</v>
      </c>
      <c r="F139" s="1701">
        <f t="shared" si="14"/>
        <v>35</v>
      </c>
      <c r="G139" s="1703">
        <f t="shared" si="15"/>
        <v>2.3387905111927833E-3</v>
      </c>
      <c r="J139" s="1704"/>
    </row>
    <row r="140" spans="2:10">
      <c r="B140" s="1700">
        <v>15001.5</v>
      </c>
      <c r="C140" s="1696">
        <v>3150</v>
      </c>
      <c r="D140" s="1701">
        <f t="shared" si="13"/>
        <v>16000</v>
      </c>
      <c r="E140" s="1765">
        <f t="shared" ref="E140:E180" si="16">IF(B140&lt;=17500,17500)</f>
        <v>17500</v>
      </c>
      <c r="F140" s="1701">
        <f t="shared" si="14"/>
        <v>2498.5</v>
      </c>
      <c r="G140" s="1703">
        <f t="shared" si="15"/>
        <v>0.16655001166550013</v>
      </c>
      <c r="H140" s="1747">
        <v>41</v>
      </c>
      <c r="J140" s="1748">
        <f>AVERAGE(B140:B180)</f>
        <v>16268.11951219512</v>
      </c>
    </row>
    <row r="141" spans="2:10">
      <c r="B141" s="1700">
        <v>15001.5</v>
      </c>
      <c r="C141" s="1696">
        <v>3150</v>
      </c>
      <c r="D141" s="1701">
        <f t="shared" si="13"/>
        <v>16000</v>
      </c>
      <c r="E141" s="1765">
        <f t="shared" si="16"/>
        <v>17500</v>
      </c>
      <c r="F141" s="1701">
        <f t="shared" si="14"/>
        <v>2498.5</v>
      </c>
      <c r="G141" s="1703">
        <f t="shared" si="15"/>
        <v>0.16655001166550013</v>
      </c>
      <c r="J141" s="1704"/>
    </row>
    <row r="142" spans="2:10">
      <c r="B142" s="1700">
        <v>15264.3</v>
      </c>
      <c r="C142" s="1696">
        <v>3150</v>
      </c>
      <c r="D142" s="1701">
        <f t="shared" si="13"/>
        <v>16000</v>
      </c>
      <c r="E142" s="1765">
        <f t="shared" si="16"/>
        <v>17500</v>
      </c>
      <c r="F142" s="1701">
        <f t="shared" si="14"/>
        <v>2235.7000000000007</v>
      </c>
      <c r="G142" s="1703">
        <f t="shared" si="15"/>
        <v>0.14646593685920747</v>
      </c>
      <c r="J142" s="1704"/>
    </row>
    <row r="143" spans="2:10">
      <c r="B143" s="1700">
        <v>15330</v>
      </c>
      <c r="C143" s="1696">
        <v>3150</v>
      </c>
      <c r="D143" s="1701">
        <f t="shared" si="13"/>
        <v>16000</v>
      </c>
      <c r="E143" s="1765">
        <f t="shared" si="16"/>
        <v>17500</v>
      </c>
      <c r="F143" s="1701">
        <f t="shared" si="14"/>
        <v>2170</v>
      </c>
      <c r="G143" s="1703">
        <f t="shared" si="15"/>
        <v>0.14155251141552511</v>
      </c>
      <c r="J143" s="1704"/>
    </row>
    <row r="144" spans="2:10">
      <c r="B144" s="1700">
        <v>15330</v>
      </c>
      <c r="C144" s="1696">
        <v>3150</v>
      </c>
      <c r="D144" s="1701">
        <f t="shared" si="13"/>
        <v>16000</v>
      </c>
      <c r="E144" s="1765">
        <f t="shared" si="16"/>
        <v>17500</v>
      </c>
      <c r="F144" s="1701">
        <f t="shared" si="14"/>
        <v>2170</v>
      </c>
      <c r="G144" s="1703">
        <f t="shared" si="15"/>
        <v>0.14155251141552511</v>
      </c>
      <c r="J144" s="1704"/>
    </row>
    <row r="145" spans="2:10">
      <c r="B145" s="1700">
        <v>15330</v>
      </c>
      <c r="C145" s="1696">
        <v>3150</v>
      </c>
      <c r="D145" s="1701">
        <f t="shared" si="13"/>
        <v>16000</v>
      </c>
      <c r="E145" s="1765">
        <f t="shared" si="16"/>
        <v>17500</v>
      </c>
      <c r="F145" s="1701">
        <f t="shared" si="14"/>
        <v>2170</v>
      </c>
      <c r="G145" s="1703">
        <f t="shared" si="15"/>
        <v>0.14155251141552511</v>
      </c>
      <c r="J145" s="1704"/>
    </row>
    <row r="146" spans="2:10">
      <c r="B146" s="1700">
        <v>15330</v>
      </c>
      <c r="C146" s="1696">
        <v>3288</v>
      </c>
      <c r="D146" s="1701">
        <f t="shared" si="13"/>
        <v>16000</v>
      </c>
      <c r="E146" s="1765">
        <f t="shared" si="16"/>
        <v>17500</v>
      </c>
      <c r="F146" s="1701">
        <f t="shared" si="14"/>
        <v>2170</v>
      </c>
      <c r="G146" s="1703">
        <f t="shared" si="15"/>
        <v>0.14155251141552511</v>
      </c>
      <c r="J146" s="1704"/>
    </row>
    <row r="147" spans="2:10">
      <c r="B147" s="1700">
        <v>15538.05</v>
      </c>
      <c r="C147" s="1696">
        <v>3288</v>
      </c>
      <c r="D147" s="1701">
        <f t="shared" si="13"/>
        <v>16000</v>
      </c>
      <c r="E147" s="1765">
        <f t="shared" si="16"/>
        <v>17500</v>
      </c>
      <c r="F147" s="1701">
        <f t="shared" si="14"/>
        <v>1961.9500000000007</v>
      </c>
      <c r="G147" s="1703">
        <f t="shared" si="15"/>
        <v>0.12626745312313969</v>
      </c>
      <c r="J147" s="1704"/>
    </row>
    <row r="148" spans="2:10">
      <c r="B148" s="1700">
        <v>15563.6</v>
      </c>
      <c r="C148" s="1696">
        <v>3288</v>
      </c>
      <c r="D148" s="1701">
        <f t="shared" si="13"/>
        <v>16000</v>
      </c>
      <c r="E148" s="1765">
        <f t="shared" si="16"/>
        <v>17500</v>
      </c>
      <c r="F148" s="1701">
        <f t="shared" si="14"/>
        <v>1936.3999999999996</v>
      </c>
      <c r="G148" s="1703">
        <f t="shared" si="15"/>
        <v>0.12441851499653034</v>
      </c>
      <c r="J148" s="1704"/>
    </row>
    <row r="149" spans="2:10">
      <c r="B149" s="1700">
        <v>15792</v>
      </c>
      <c r="C149" s="1696">
        <v>3150</v>
      </c>
      <c r="D149" s="1701">
        <f t="shared" si="13"/>
        <v>16000</v>
      </c>
      <c r="E149" s="1765">
        <f t="shared" si="16"/>
        <v>17500</v>
      </c>
      <c r="F149" s="1701">
        <f t="shared" si="14"/>
        <v>1708</v>
      </c>
      <c r="G149" s="1703">
        <f t="shared" si="15"/>
        <v>0.10815602836879433</v>
      </c>
      <c r="J149" s="1704"/>
    </row>
    <row r="150" spans="2:10">
      <c r="B150" s="1700">
        <v>15793.55</v>
      </c>
      <c r="C150" s="1696">
        <v>3150</v>
      </c>
      <c r="D150" s="1701">
        <f t="shared" si="13"/>
        <v>16000</v>
      </c>
      <c r="E150" s="1765">
        <f t="shared" si="16"/>
        <v>17500</v>
      </c>
      <c r="F150" s="1701">
        <f t="shared" si="14"/>
        <v>1706.4500000000007</v>
      </c>
      <c r="G150" s="1703">
        <f t="shared" si="15"/>
        <v>0.10804727246249266</v>
      </c>
      <c r="J150" s="1704"/>
    </row>
    <row r="151" spans="2:10">
      <c r="B151" s="1700">
        <v>15860</v>
      </c>
      <c r="C151" s="1696">
        <v>3150</v>
      </c>
      <c r="D151" s="1701">
        <f t="shared" si="13"/>
        <v>16000</v>
      </c>
      <c r="E151" s="1765">
        <f t="shared" si="16"/>
        <v>17500</v>
      </c>
      <c r="F151" s="1701">
        <f t="shared" si="14"/>
        <v>1640</v>
      </c>
      <c r="G151" s="1703">
        <f t="shared" si="15"/>
        <v>0.10340479192938209</v>
      </c>
      <c r="J151" s="1704"/>
    </row>
    <row r="152" spans="2:10">
      <c r="B152" s="1700">
        <v>15965</v>
      </c>
      <c r="C152" s="1696">
        <v>3150</v>
      </c>
      <c r="D152" s="1701">
        <f t="shared" si="13"/>
        <v>16000</v>
      </c>
      <c r="E152" s="1765">
        <f t="shared" si="16"/>
        <v>17500</v>
      </c>
      <c r="F152" s="1701">
        <f t="shared" si="14"/>
        <v>1535</v>
      </c>
      <c r="G152" s="1703">
        <f t="shared" si="15"/>
        <v>9.6147823363607887E-2</v>
      </c>
      <c r="J152" s="1704"/>
    </row>
    <row r="153" spans="2:10">
      <c r="B153" s="1700">
        <v>16001.6</v>
      </c>
      <c r="C153" s="1696">
        <v>3150</v>
      </c>
      <c r="D153" s="1701">
        <f t="shared" si="13"/>
        <v>17000</v>
      </c>
      <c r="E153" s="1765">
        <f t="shared" si="16"/>
        <v>17500</v>
      </c>
      <c r="F153" s="1701">
        <f t="shared" si="14"/>
        <v>1498.3999999999996</v>
      </c>
      <c r="G153" s="1703">
        <f t="shared" si="15"/>
        <v>9.3640635936406341E-2</v>
      </c>
      <c r="J153" s="1704"/>
    </row>
    <row r="154" spans="2:10">
      <c r="B154" s="1700">
        <v>16253.45</v>
      </c>
      <c r="C154" s="1696">
        <v>3150</v>
      </c>
      <c r="D154" s="1701">
        <f t="shared" si="13"/>
        <v>17000</v>
      </c>
      <c r="E154" s="1765">
        <f t="shared" si="16"/>
        <v>17500</v>
      </c>
      <c r="F154" s="1701">
        <f t="shared" si="14"/>
        <v>1246.5499999999993</v>
      </c>
      <c r="G154" s="1703">
        <f t="shared" si="15"/>
        <v>7.6694486401348586E-2</v>
      </c>
      <c r="J154" s="1704"/>
    </row>
    <row r="155" spans="2:10">
      <c r="B155" s="1700">
        <v>16253.45</v>
      </c>
      <c r="C155" s="1696">
        <v>3150</v>
      </c>
      <c r="D155" s="1701">
        <f t="shared" si="13"/>
        <v>17000</v>
      </c>
      <c r="E155" s="1765">
        <f t="shared" si="16"/>
        <v>17500</v>
      </c>
      <c r="F155" s="1701">
        <f t="shared" si="14"/>
        <v>1246.5499999999993</v>
      </c>
      <c r="G155" s="1703">
        <f t="shared" si="15"/>
        <v>7.6694486401348586E-2</v>
      </c>
      <c r="J155" s="1704"/>
    </row>
    <row r="156" spans="2:10">
      <c r="B156" s="1700">
        <v>16325</v>
      </c>
      <c r="C156" s="1696">
        <v>3288</v>
      </c>
      <c r="D156" s="1701">
        <f t="shared" si="13"/>
        <v>17000</v>
      </c>
      <c r="E156" s="1765">
        <f t="shared" si="16"/>
        <v>17500</v>
      </c>
      <c r="F156" s="1701">
        <f t="shared" si="14"/>
        <v>1175</v>
      </c>
      <c r="G156" s="1703">
        <f t="shared" si="15"/>
        <v>7.1975497702909647E-2</v>
      </c>
      <c r="J156" s="1704"/>
    </row>
    <row r="157" spans="2:10">
      <c r="B157" s="1700">
        <v>16365</v>
      </c>
      <c r="C157" s="1696">
        <v>3150</v>
      </c>
      <c r="D157" s="1701">
        <f t="shared" si="13"/>
        <v>17000</v>
      </c>
      <c r="E157" s="1765">
        <f t="shared" si="16"/>
        <v>17500</v>
      </c>
      <c r="F157" s="1701">
        <f t="shared" si="14"/>
        <v>1135</v>
      </c>
      <c r="G157" s="1703">
        <f t="shared" si="15"/>
        <v>6.9355331500152759E-2</v>
      </c>
      <c r="J157" s="1704"/>
    </row>
    <row r="158" spans="2:10">
      <c r="B158" s="1700">
        <v>16425</v>
      </c>
      <c r="C158" s="1696">
        <v>3150</v>
      </c>
      <c r="D158" s="1701">
        <f t="shared" si="13"/>
        <v>17000</v>
      </c>
      <c r="E158" s="1765">
        <f t="shared" si="16"/>
        <v>17500</v>
      </c>
      <c r="F158" s="1701">
        <f t="shared" si="14"/>
        <v>1075</v>
      </c>
      <c r="G158" s="1703">
        <f t="shared" si="15"/>
        <v>6.5449010654490103E-2</v>
      </c>
      <c r="J158" s="1704"/>
    </row>
    <row r="159" spans="2:10">
      <c r="B159" s="1700">
        <v>16425</v>
      </c>
      <c r="C159" s="1696">
        <v>3150</v>
      </c>
      <c r="D159" s="1701">
        <f t="shared" si="13"/>
        <v>17000</v>
      </c>
      <c r="E159" s="1765">
        <f t="shared" si="16"/>
        <v>17500</v>
      </c>
      <c r="F159" s="1701">
        <f t="shared" si="14"/>
        <v>1075</v>
      </c>
      <c r="G159" s="1703">
        <f t="shared" si="15"/>
        <v>6.5449010654490103E-2</v>
      </c>
      <c r="J159" s="1704"/>
    </row>
    <row r="160" spans="2:10">
      <c r="B160" s="1700">
        <v>16425</v>
      </c>
      <c r="C160" s="1696">
        <v>3150</v>
      </c>
      <c r="D160" s="1701">
        <f t="shared" si="13"/>
        <v>17000</v>
      </c>
      <c r="E160" s="1765">
        <f t="shared" si="16"/>
        <v>17500</v>
      </c>
      <c r="F160" s="1701">
        <f t="shared" si="14"/>
        <v>1075</v>
      </c>
      <c r="G160" s="1703">
        <f t="shared" si="15"/>
        <v>6.5449010654490103E-2</v>
      </c>
      <c r="J160" s="1704"/>
    </row>
    <row r="161" spans="2:10">
      <c r="B161" s="1700">
        <v>16425</v>
      </c>
      <c r="C161" s="1696">
        <v>3150</v>
      </c>
      <c r="D161" s="1701">
        <f t="shared" si="13"/>
        <v>17000</v>
      </c>
      <c r="E161" s="1765">
        <f t="shared" si="16"/>
        <v>17500</v>
      </c>
      <c r="F161" s="1701">
        <f t="shared" si="14"/>
        <v>1075</v>
      </c>
      <c r="G161" s="1703">
        <f t="shared" si="15"/>
        <v>6.5449010654490103E-2</v>
      </c>
      <c r="J161" s="1704"/>
    </row>
    <row r="162" spans="2:10">
      <c r="B162" s="1700">
        <v>16425</v>
      </c>
      <c r="C162" s="1696">
        <v>3150</v>
      </c>
      <c r="D162" s="1701">
        <f t="shared" si="13"/>
        <v>17000</v>
      </c>
      <c r="E162" s="1765">
        <f t="shared" si="16"/>
        <v>17500</v>
      </c>
      <c r="F162" s="1701">
        <f t="shared" si="14"/>
        <v>1075</v>
      </c>
      <c r="G162" s="1703">
        <f t="shared" si="15"/>
        <v>6.5449010654490103E-2</v>
      </c>
      <c r="J162" s="1704"/>
    </row>
    <row r="163" spans="2:10">
      <c r="B163" s="1700">
        <v>16425</v>
      </c>
      <c r="C163" s="1696">
        <v>3150</v>
      </c>
      <c r="D163" s="1701">
        <f t="shared" si="13"/>
        <v>17000</v>
      </c>
      <c r="E163" s="1765">
        <f t="shared" si="16"/>
        <v>17500</v>
      </c>
      <c r="F163" s="1701">
        <f t="shared" si="14"/>
        <v>1075</v>
      </c>
      <c r="G163" s="1703">
        <f t="shared" si="15"/>
        <v>6.5449010654490103E-2</v>
      </c>
      <c r="J163" s="1704"/>
    </row>
    <row r="164" spans="2:10">
      <c r="B164" s="1700">
        <v>16425</v>
      </c>
      <c r="C164" s="1696">
        <v>3150</v>
      </c>
      <c r="D164" s="1701">
        <f t="shared" si="13"/>
        <v>17000</v>
      </c>
      <c r="E164" s="1765">
        <f t="shared" si="16"/>
        <v>17500</v>
      </c>
      <c r="F164" s="1701">
        <f t="shared" si="14"/>
        <v>1075</v>
      </c>
      <c r="G164" s="1703">
        <f t="shared" si="15"/>
        <v>6.5449010654490103E-2</v>
      </c>
      <c r="J164" s="1704"/>
    </row>
    <row r="165" spans="2:10">
      <c r="B165" s="1700">
        <v>16425</v>
      </c>
      <c r="C165" s="1696">
        <v>3150</v>
      </c>
      <c r="D165" s="1701">
        <f t="shared" si="13"/>
        <v>17000</v>
      </c>
      <c r="E165" s="1765">
        <f t="shared" si="16"/>
        <v>17500</v>
      </c>
      <c r="F165" s="1701">
        <f t="shared" si="14"/>
        <v>1075</v>
      </c>
      <c r="G165" s="1703">
        <f t="shared" si="15"/>
        <v>6.5449010654490103E-2</v>
      </c>
      <c r="J165" s="1704"/>
    </row>
    <row r="166" spans="2:10">
      <c r="B166" s="1700">
        <v>16425</v>
      </c>
      <c r="C166" s="1696">
        <v>3150</v>
      </c>
      <c r="D166" s="1701">
        <f t="shared" si="13"/>
        <v>17000</v>
      </c>
      <c r="E166" s="1765">
        <f t="shared" si="16"/>
        <v>17500</v>
      </c>
      <c r="F166" s="1701">
        <f t="shared" si="14"/>
        <v>1075</v>
      </c>
      <c r="G166" s="1703">
        <f t="shared" si="15"/>
        <v>6.5449010654490103E-2</v>
      </c>
      <c r="J166" s="1704"/>
    </row>
    <row r="167" spans="2:10">
      <c r="B167" s="1700">
        <v>16425</v>
      </c>
      <c r="C167" s="1696">
        <v>3288</v>
      </c>
      <c r="D167" s="1701">
        <f t="shared" si="13"/>
        <v>17000</v>
      </c>
      <c r="E167" s="1765">
        <f t="shared" si="16"/>
        <v>17500</v>
      </c>
      <c r="F167" s="1701">
        <f t="shared" si="14"/>
        <v>1075</v>
      </c>
      <c r="G167" s="1703">
        <f t="shared" si="15"/>
        <v>6.5449010654490103E-2</v>
      </c>
      <c r="J167" s="1704"/>
    </row>
    <row r="168" spans="2:10">
      <c r="B168" s="1700">
        <v>16472.45</v>
      </c>
      <c r="C168" s="1696">
        <v>3150</v>
      </c>
      <c r="D168" s="1701">
        <f t="shared" si="13"/>
        <v>17000</v>
      </c>
      <c r="E168" s="1765">
        <f t="shared" si="16"/>
        <v>17500</v>
      </c>
      <c r="F168" s="1701">
        <f t="shared" si="14"/>
        <v>1027.5499999999993</v>
      </c>
      <c r="G168" s="1703">
        <f t="shared" si="15"/>
        <v>6.2379913127676774E-2</v>
      </c>
      <c r="J168" s="1704"/>
    </row>
    <row r="169" spans="2:10">
      <c r="B169" s="1700">
        <v>16512</v>
      </c>
      <c r="C169" s="1696">
        <v>3150</v>
      </c>
      <c r="D169" s="1701">
        <f t="shared" si="13"/>
        <v>17000</v>
      </c>
      <c r="E169" s="1765">
        <f t="shared" si="16"/>
        <v>17500</v>
      </c>
      <c r="F169" s="1701">
        <f t="shared" si="14"/>
        <v>988</v>
      </c>
      <c r="G169" s="1703">
        <f t="shared" si="15"/>
        <v>5.983527131782946E-2</v>
      </c>
      <c r="J169" s="1704"/>
    </row>
    <row r="170" spans="2:10">
      <c r="B170" s="1700">
        <v>16752</v>
      </c>
      <c r="C170" s="1696">
        <v>3288</v>
      </c>
      <c r="D170" s="1701">
        <f t="shared" si="13"/>
        <v>17000</v>
      </c>
      <c r="E170" s="1765">
        <f t="shared" si="16"/>
        <v>17500</v>
      </c>
      <c r="F170" s="1701">
        <f t="shared" si="14"/>
        <v>748</v>
      </c>
      <c r="G170" s="1703">
        <f t="shared" si="15"/>
        <v>4.4651384909264569E-2</v>
      </c>
      <c r="J170" s="1704"/>
    </row>
    <row r="171" spans="2:10">
      <c r="B171" s="1700">
        <v>16800</v>
      </c>
      <c r="C171" s="1696">
        <v>3150</v>
      </c>
      <c r="D171" s="1701">
        <f t="shared" si="13"/>
        <v>17000</v>
      </c>
      <c r="E171" s="1765">
        <f t="shared" si="16"/>
        <v>17500</v>
      </c>
      <c r="F171" s="1701">
        <f t="shared" si="14"/>
        <v>700</v>
      </c>
      <c r="G171" s="1703">
        <f t="shared" si="15"/>
        <v>4.1666666666666664E-2</v>
      </c>
      <c r="J171" s="1704"/>
    </row>
    <row r="172" spans="2:10">
      <c r="B172" s="1700">
        <v>16800</v>
      </c>
      <c r="C172" s="1696">
        <v>3150</v>
      </c>
      <c r="D172" s="1701">
        <f t="shared" si="13"/>
        <v>17000</v>
      </c>
      <c r="E172" s="1765">
        <f t="shared" si="16"/>
        <v>17500</v>
      </c>
      <c r="F172" s="1701">
        <f t="shared" si="14"/>
        <v>700</v>
      </c>
      <c r="G172" s="1703">
        <f t="shared" si="15"/>
        <v>4.1666666666666664E-2</v>
      </c>
      <c r="J172" s="1704"/>
    </row>
    <row r="173" spans="2:10">
      <c r="B173" s="1700">
        <v>16800</v>
      </c>
      <c r="C173" s="1696">
        <v>3150</v>
      </c>
      <c r="D173" s="1701">
        <f t="shared" si="13"/>
        <v>17000</v>
      </c>
      <c r="E173" s="1765">
        <f t="shared" si="16"/>
        <v>17500</v>
      </c>
      <c r="F173" s="1701">
        <f t="shared" si="14"/>
        <v>700</v>
      </c>
      <c r="G173" s="1703">
        <f t="shared" si="15"/>
        <v>4.1666666666666664E-2</v>
      </c>
      <c r="J173" s="1704"/>
    </row>
    <row r="174" spans="2:10">
      <c r="B174" s="1700">
        <v>16896</v>
      </c>
      <c r="C174" s="1696">
        <v>3150</v>
      </c>
      <c r="D174" s="1701">
        <f t="shared" si="13"/>
        <v>17000</v>
      </c>
      <c r="E174" s="1765">
        <f t="shared" si="16"/>
        <v>17500</v>
      </c>
      <c r="F174" s="1701">
        <f t="shared" si="14"/>
        <v>604</v>
      </c>
      <c r="G174" s="1703">
        <f t="shared" si="15"/>
        <v>3.5748106060606064E-2</v>
      </c>
      <c r="J174" s="1704"/>
    </row>
    <row r="175" spans="2:10">
      <c r="B175" s="1700">
        <v>16998.05</v>
      </c>
      <c r="C175" s="1696">
        <v>3150</v>
      </c>
      <c r="D175" s="1701">
        <f t="shared" si="13"/>
        <v>17000</v>
      </c>
      <c r="E175" s="1765">
        <f t="shared" si="16"/>
        <v>17500</v>
      </c>
      <c r="F175" s="1701">
        <f t="shared" si="14"/>
        <v>501.95000000000073</v>
      </c>
      <c r="G175" s="1703">
        <f t="shared" si="15"/>
        <v>2.9529857836634248E-2</v>
      </c>
      <c r="J175" s="1704"/>
    </row>
    <row r="176" spans="2:10">
      <c r="B176" s="1700">
        <v>17224.349999999999</v>
      </c>
      <c r="C176" s="1696">
        <v>3150</v>
      </c>
      <c r="D176" s="1701">
        <f t="shared" si="13"/>
        <v>18000</v>
      </c>
      <c r="E176" s="1765">
        <f t="shared" si="16"/>
        <v>17500</v>
      </c>
      <c r="F176" s="1701">
        <f t="shared" si="14"/>
        <v>275.65000000000146</v>
      </c>
      <c r="G176" s="1703">
        <f t="shared" si="15"/>
        <v>1.6003506663531657E-2</v>
      </c>
      <c r="J176" s="1704"/>
    </row>
    <row r="177" spans="2:10">
      <c r="B177" s="1700">
        <v>17225</v>
      </c>
      <c r="C177" s="1696">
        <v>3288</v>
      </c>
      <c r="D177" s="1701">
        <f t="shared" si="13"/>
        <v>18000</v>
      </c>
      <c r="E177" s="1765">
        <f t="shared" si="16"/>
        <v>17500</v>
      </c>
      <c r="F177" s="1701">
        <f t="shared" si="14"/>
        <v>275</v>
      </c>
      <c r="G177" s="1703">
        <f t="shared" si="15"/>
        <v>1.5965166908563134E-2</v>
      </c>
      <c r="J177" s="1704"/>
    </row>
    <row r="178" spans="2:10">
      <c r="B178" s="1700">
        <v>17260.849999999999</v>
      </c>
      <c r="C178" s="1696">
        <v>3150</v>
      </c>
      <c r="D178" s="1701">
        <f t="shared" si="13"/>
        <v>18000</v>
      </c>
      <c r="E178" s="1765">
        <f t="shared" si="16"/>
        <v>17500</v>
      </c>
      <c r="F178" s="1701">
        <f t="shared" si="14"/>
        <v>239.15000000000146</v>
      </c>
      <c r="G178" s="1703">
        <f t="shared" si="15"/>
        <v>1.3855053488095979E-2</v>
      </c>
      <c r="J178" s="1704"/>
    </row>
    <row r="179" spans="2:10">
      <c r="B179" s="1700">
        <v>17337.5</v>
      </c>
      <c r="C179" s="1696">
        <v>3150</v>
      </c>
      <c r="D179" s="1701">
        <f t="shared" si="13"/>
        <v>18000</v>
      </c>
      <c r="E179" s="1765">
        <f t="shared" si="16"/>
        <v>17500</v>
      </c>
      <c r="F179" s="1701">
        <f t="shared" si="14"/>
        <v>162.5</v>
      </c>
      <c r="G179" s="1703">
        <f t="shared" si="15"/>
        <v>9.372746935832732E-3</v>
      </c>
      <c r="J179" s="1704"/>
    </row>
    <row r="180" spans="2:10">
      <c r="B180" s="1700">
        <v>17366.7</v>
      </c>
      <c r="C180" s="1696">
        <v>3150</v>
      </c>
      <c r="D180" s="1701">
        <f t="shared" si="13"/>
        <v>18000</v>
      </c>
      <c r="E180" s="1765">
        <f t="shared" si="16"/>
        <v>17500</v>
      </c>
      <c r="F180" s="1701">
        <f t="shared" si="14"/>
        <v>133.29999999999927</v>
      </c>
      <c r="G180" s="1703">
        <f t="shared" si="15"/>
        <v>7.6756090679288101E-3</v>
      </c>
      <c r="J180" s="1704"/>
    </row>
    <row r="181" spans="2:10">
      <c r="B181" s="1700">
        <v>17403</v>
      </c>
      <c r="C181" s="1696">
        <v>3150</v>
      </c>
      <c r="D181" s="1701">
        <f t="shared" si="13"/>
        <v>18000</v>
      </c>
      <c r="E181" s="1766">
        <f t="shared" ref="E181:E244" si="17">IF(B181&lt;=20000,20000)</f>
        <v>20000</v>
      </c>
      <c r="F181" s="1701">
        <f t="shared" si="14"/>
        <v>2597</v>
      </c>
      <c r="G181" s="1703">
        <f t="shared" si="15"/>
        <v>0.14922714474515889</v>
      </c>
      <c r="H181" s="1747">
        <v>94</v>
      </c>
      <c r="J181" s="1748">
        <f>AVERAGE(B181:B274)</f>
        <v>18780.352659574481</v>
      </c>
    </row>
    <row r="182" spans="2:10">
      <c r="B182" s="1700">
        <v>17500</v>
      </c>
      <c r="C182" s="1696">
        <v>3150</v>
      </c>
      <c r="D182" s="1701">
        <f t="shared" si="13"/>
        <v>18000</v>
      </c>
      <c r="E182" s="1766">
        <f t="shared" si="17"/>
        <v>20000</v>
      </c>
      <c r="F182" s="1701">
        <f t="shared" si="14"/>
        <v>2500</v>
      </c>
      <c r="G182" s="1703">
        <f t="shared" si="15"/>
        <v>0.14285714285714285</v>
      </c>
      <c r="J182" s="1704"/>
    </row>
    <row r="183" spans="2:10">
      <c r="B183" s="1700">
        <v>17500</v>
      </c>
      <c r="C183" s="1696">
        <v>3150</v>
      </c>
      <c r="D183" s="1701">
        <f t="shared" si="13"/>
        <v>18000</v>
      </c>
      <c r="E183" s="1766">
        <f t="shared" si="17"/>
        <v>20000</v>
      </c>
      <c r="F183" s="1701">
        <f t="shared" si="14"/>
        <v>2500</v>
      </c>
      <c r="G183" s="1703">
        <f t="shared" si="15"/>
        <v>0.14285714285714285</v>
      </c>
      <c r="J183" s="1704"/>
    </row>
    <row r="184" spans="2:10">
      <c r="B184" s="1700">
        <v>17500</v>
      </c>
      <c r="C184" s="1696">
        <v>3150</v>
      </c>
      <c r="D184" s="1701">
        <f t="shared" si="13"/>
        <v>18000</v>
      </c>
      <c r="E184" s="1766">
        <f t="shared" si="17"/>
        <v>20000</v>
      </c>
      <c r="F184" s="1701">
        <f t="shared" si="14"/>
        <v>2500</v>
      </c>
      <c r="G184" s="1703">
        <f t="shared" si="15"/>
        <v>0.14285714285714285</v>
      </c>
      <c r="J184" s="1704"/>
    </row>
    <row r="185" spans="2:10">
      <c r="B185" s="1700">
        <v>17505.400000000001</v>
      </c>
      <c r="C185" s="1696">
        <v>3150</v>
      </c>
      <c r="D185" s="1701">
        <f t="shared" si="13"/>
        <v>18000</v>
      </c>
      <c r="E185" s="1766">
        <f t="shared" si="17"/>
        <v>20000</v>
      </c>
      <c r="F185" s="1701">
        <f t="shared" si="14"/>
        <v>2494.5999999999985</v>
      </c>
      <c r="G185" s="1703">
        <f t="shared" si="15"/>
        <v>0.1425045985810092</v>
      </c>
      <c r="J185" s="1704"/>
    </row>
    <row r="186" spans="2:10">
      <c r="B186" s="1700">
        <v>17702.5</v>
      </c>
      <c r="C186" s="1696">
        <v>3150</v>
      </c>
      <c r="D186" s="1701">
        <f t="shared" si="13"/>
        <v>18000</v>
      </c>
      <c r="E186" s="1766">
        <f t="shared" si="17"/>
        <v>20000</v>
      </c>
      <c r="F186" s="1701">
        <f t="shared" si="14"/>
        <v>2297.5</v>
      </c>
      <c r="G186" s="1703">
        <f t="shared" si="15"/>
        <v>0.12978392882361248</v>
      </c>
      <c r="J186" s="1704"/>
    </row>
    <row r="187" spans="2:10">
      <c r="B187" s="1700">
        <v>17702.5</v>
      </c>
      <c r="C187" s="1696">
        <v>3150</v>
      </c>
      <c r="D187" s="1701">
        <f t="shared" si="13"/>
        <v>18000</v>
      </c>
      <c r="E187" s="1766">
        <f t="shared" si="17"/>
        <v>20000</v>
      </c>
      <c r="F187" s="1701">
        <f t="shared" si="14"/>
        <v>2297.5</v>
      </c>
      <c r="G187" s="1703">
        <f t="shared" si="15"/>
        <v>0.12978392882361248</v>
      </c>
      <c r="J187" s="1704"/>
    </row>
    <row r="188" spans="2:10">
      <c r="B188" s="1700">
        <v>17885</v>
      </c>
      <c r="C188" s="1696">
        <v>3150</v>
      </c>
      <c r="D188" s="1701">
        <f t="shared" si="13"/>
        <v>18000</v>
      </c>
      <c r="E188" s="1766">
        <f t="shared" si="17"/>
        <v>20000</v>
      </c>
      <c r="F188" s="1701">
        <f t="shared" si="14"/>
        <v>2115</v>
      </c>
      <c r="G188" s="1703">
        <f t="shared" si="15"/>
        <v>0.11825552138663685</v>
      </c>
      <c r="J188" s="1704"/>
    </row>
    <row r="189" spans="2:10">
      <c r="B189" s="1700">
        <v>17885</v>
      </c>
      <c r="C189" s="1696">
        <v>3150</v>
      </c>
      <c r="D189" s="1701">
        <f t="shared" si="13"/>
        <v>18000</v>
      </c>
      <c r="E189" s="1766">
        <f t="shared" si="17"/>
        <v>20000</v>
      </c>
      <c r="F189" s="1701">
        <f t="shared" si="14"/>
        <v>2115</v>
      </c>
      <c r="G189" s="1703">
        <f t="shared" si="15"/>
        <v>0.11825552138663685</v>
      </c>
      <c r="J189" s="1704"/>
    </row>
    <row r="190" spans="2:10">
      <c r="B190" s="1700">
        <v>17885</v>
      </c>
      <c r="C190" s="1696">
        <v>3150</v>
      </c>
      <c r="D190" s="1701">
        <f t="shared" si="13"/>
        <v>18000</v>
      </c>
      <c r="E190" s="1766">
        <f t="shared" si="17"/>
        <v>20000</v>
      </c>
      <c r="F190" s="1701">
        <f t="shared" si="14"/>
        <v>2115</v>
      </c>
      <c r="G190" s="1703">
        <f t="shared" si="15"/>
        <v>0.11825552138663685</v>
      </c>
      <c r="J190" s="1704"/>
    </row>
    <row r="191" spans="2:10">
      <c r="B191" s="1700">
        <v>17885</v>
      </c>
      <c r="C191" s="1696">
        <v>3150</v>
      </c>
      <c r="D191" s="1701">
        <f t="shared" si="13"/>
        <v>18000</v>
      </c>
      <c r="E191" s="1766">
        <f t="shared" si="17"/>
        <v>20000</v>
      </c>
      <c r="F191" s="1701">
        <f t="shared" si="14"/>
        <v>2115</v>
      </c>
      <c r="G191" s="1703">
        <f t="shared" si="15"/>
        <v>0.11825552138663685</v>
      </c>
      <c r="J191" s="1704"/>
    </row>
    <row r="192" spans="2:10">
      <c r="B192" s="1700">
        <v>17885</v>
      </c>
      <c r="C192" s="1696">
        <v>3150</v>
      </c>
      <c r="D192" s="1701">
        <f t="shared" si="13"/>
        <v>18000</v>
      </c>
      <c r="E192" s="1766">
        <f t="shared" si="17"/>
        <v>20000</v>
      </c>
      <c r="F192" s="1701">
        <f t="shared" si="14"/>
        <v>2115</v>
      </c>
      <c r="G192" s="1703">
        <f t="shared" si="15"/>
        <v>0.11825552138663685</v>
      </c>
      <c r="J192" s="1704"/>
    </row>
    <row r="193" spans="2:10">
      <c r="B193" s="1700">
        <v>17905</v>
      </c>
      <c r="C193" s="1696">
        <v>3150</v>
      </c>
      <c r="D193" s="1701">
        <f t="shared" si="13"/>
        <v>18000</v>
      </c>
      <c r="E193" s="1766">
        <f t="shared" si="17"/>
        <v>20000</v>
      </c>
      <c r="F193" s="1701">
        <f t="shared" si="14"/>
        <v>2095</v>
      </c>
      <c r="G193" s="1703">
        <f t="shared" si="15"/>
        <v>0.11700642278693102</v>
      </c>
      <c r="J193" s="1704"/>
    </row>
    <row r="194" spans="2:10">
      <c r="B194" s="1700">
        <v>17934</v>
      </c>
      <c r="C194" s="1696">
        <v>3150</v>
      </c>
      <c r="D194" s="1701">
        <f t="shared" ref="D194:D257" si="18">ROUNDUP(B194,-3)</f>
        <v>18000</v>
      </c>
      <c r="E194" s="1766">
        <f t="shared" si="17"/>
        <v>20000</v>
      </c>
      <c r="F194" s="1701">
        <f t="shared" ref="F194:F257" si="19">E194-B194</f>
        <v>2066</v>
      </c>
      <c r="G194" s="1703">
        <f t="shared" ref="G194:G257" si="20">F194/B194</f>
        <v>0.11520017843202855</v>
      </c>
      <c r="J194" s="1704"/>
    </row>
    <row r="195" spans="2:10">
      <c r="B195" s="1700">
        <v>17998.150000000001</v>
      </c>
      <c r="C195" s="1696">
        <v>3150</v>
      </c>
      <c r="D195" s="1701">
        <f t="shared" si="18"/>
        <v>18000</v>
      </c>
      <c r="E195" s="1766">
        <f t="shared" si="17"/>
        <v>20000</v>
      </c>
      <c r="F195" s="1701">
        <f t="shared" si="19"/>
        <v>2001.8499999999985</v>
      </c>
      <c r="G195" s="1703">
        <f t="shared" si="20"/>
        <v>0.11122532038015009</v>
      </c>
      <c r="J195" s="1704"/>
    </row>
    <row r="196" spans="2:10">
      <c r="B196" s="1700">
        <v>18000</v>
      </c>
      <c r="C196" s="1696">
        <v>3150</v>
      </c>
      <c r="D196" s="1701">
        <f t="shared" si="18"/>
        <v>18000</v>
      </c>
      <c r="E196" s="1766">
        <f t="shared" si="17"/>
        <v>20000</v>
      </c>
      <c r="F196" s="1701">
        <f t="shared" si="19"/>
        <v>2000</v>
      </c>
      <c r="G196" s="1703">
        <f t="shared" si="20"/>
        <v>0.1111111111111111</v>
      </c>
      <c r="J196" s="1704"/>
    </row>
    <row r="197" spans="2:10">
      <c r="B197" s="1700">
        <v>18000</v>
      </c>
      <c r="C197" s="1696">
        <v>3288</v>
      </c>
      <c r="D197" s="1701">
        <f t="shared" si="18"/>
        <v>18000</v>
      </c>
      <c r="E197" s="1766">
        <f t="shared" si="17"/>
        <v>20000</v>
      </c>
      <c r="F197" s="1701">
        <f t="shared" si="19"/>
        <v>2000</v>
      </c>
      <c r="G197" s="1703">
        <f t="shared" si="20"/>
        <v>0.1111111111111111</v>
      </c>
      <c r="J197" s="1704"/>
    </row>
    <row r="198" spans="2:10">
      <c r="B198" s="1700">
        <v>18001.8</v>
      </c>
      <c r="C198" s="1696">
        <v>3150</v>
      </c>
      <c r="D198" s="1701">
        <f t="shared" si="18"/>
        <v>19000</v>
      </c>
      <c r="E198" s="1766">
        <f t="shared" si="17"/>
        <v>20000</v>
      </c>
      <c r="F198" s="1701">
        <f t="shared" si="19"/>
        <v>1998.2000000000007</v>
      </c>
      <c r="G198" s="1703">
        <f t="shared" si="20"/>
        <v>0.11100001111000016</v>
      </c>
      <c r="J198" s="1704"/>
    </row>
    <row r="199" spans="2:10">
      <c r="B199" s="1700">
        <v>18001.8</v>
      </c>
      <c r="C199" s="1696">
        <v>3150</v>
      </c>
      <c r="D199" s="1701">
        <f t="shared" si="18"/>
        <v>19000</v>
      </c>
      <c r="E199" s="1766">
        <f t="shared" si="17"/>
        <v>20000</v>
      </c>
      <c r="F199" s="1701">
        <f t="shared" si="19"/>
        <v>1998.2000000000007</v>
      </c>
      <c r="G199" s="1703">
        <f t="shared" si="20"/>
        <v>0.11100001111000016</v>
      </c>
      <c r="J199" s="1704"/>
    </row>
    <row r="200" spans="2:10">
      <c r="B200" s="1700">
        <v>18001.8</v>
      </c>
      <c r="C200" s="1696">
        <v>3150</v>
      </c>
      <c r="D200" s="1701">
        <f t="shared" si="18"/>
        <v>19000</v>
      </c>
      <c r="E200" s="1766">
        <f t="shared" si="17"/>
        <v>20000</v>
      </c>
      <c r="F200" s="1701">
        <f t="shared" si="19"/>
        <v>1998.2000000000007</v>
      </c>
      <c r="G200" s="1703">
        <f t="shared" si="20"/>
        <v>0.11100001111000016</v>
      </c>
      <c r="J200" s="1704"/>
    </row>
    <row r="201" spans="2:10">
      <c r="B201" s="1700">
        <v>18036</v>
      </c>
      <c r="C201" s="1696">
        <v>3150</v>
      </c>
      <c r="D201" s="1701">
        <f t="shared" si="18"/>
        <v>19000</v>
      </c>
      <c r="E201" s="1766">
        <f t="shared" si="17"/>
        <v>20000</v>
      </c>
      <c r="F201" s="1701">
        <f t="shared" si="19"/>
        <v>1964</v>
      </c>
      <c r="G201" s="1703">
        <f t="shared" si="20"/>
        <v>0.10889332446218673</v>
      </c>
      <c r="J201" s="1704"/>
    </row>
    <row r="202" spans="2:10">
      <c r="B202" s="1700">
        <v>18158.75</v>
      </c>
      <c r="C202" s="1696">
        <v>3150</v>
      </c>
      <c r="D202" s="1701">
        <f t="shared" si="18"/>
        <v>19000</v>
      </c>
      <c r="E202" s="1766">
        <f t="shared" si="17"/>
        <v>20000</v>
      </c>
      <c r="F202" s="1701">
        <f t="shared" si="19"/>
        <v>1841.25</v>
      </c>
      <c r="G202" s="1703">
        <f t="shared" si="20"/>
        <v>0.10139739794864734</v>
      </c>
      <c r="J202" s="1704"/>
    </row>
    <row r="203" spans="2:10">
      <c r="B203" s="1700">
        <v>18231.75</v>
      </c>
      <c r="C203" s="1696">
        <v>3150</v>
      </c>
      <c r="D203" s="1701">
        <f t="shared" si="18"/>
        <v>19000</v>
      </c>
      <c r="E203" s="1766">
        <f t="shared" si="17"/>
        <v>20000</v>
      </c>
      <c r="F203" s="1701">
        <f t="shared" si="19"/>
        <v>1768.25</v>
      </c>
      <c r="G203" s="1703">
        <f t="shared" si="20"/>
        <v>9.6987398357261376E-2</v>
      </c>
      <c r="J203" s="1704"/>
    </row>
    <row r="204" spans="2:10">
      <c r="B204" s="1700">
        <v>18250</v>
      </c>
      <c r="C204" s="1696">
        <v>3150</v>
      </c>
      <c r="D204" s="1701">
        <f t="shared" si="18"/>
        <v>19000</v>
      </c>
      <c r="E204" s="1766">
        <f t="shared" si="17"/>
        <v>20000</v>
      </c>
      <c r="F204" s="1701">
        <f t="shared" si="19"/>
        <v>1750</v>
      </c>
      <c r="G204" s="1703">
        <f t="shared" si="20"/>
        <v>9.5890410958904104E-2</v>
      </c>
      <c r="J204" s="1704"/>
    </row>
    <row r="205" spans="2:10">
      <c r="B205" s="1700">
        <v>18250</v>
      </c>
      <c r="C205" s="1696">
        <v>3150</v>
      </c>
      <c r="D205" s="1701">
        <f t="shared" si="18"/>
        <v>19000</v>
      </c>
      <c r="E205" s="1766">
        <f t="shared" si="17"/>
        <v>20000</v>
      </c>
      <c r="F205" s="1701">
        <f t="shared" si="19"/>
        <v>1750</v>
      </c>
      <c r="G205" s="1703">
        <f t="shared" si="20"/>
        <v>9.5890410958904104E-2</v>
      </c>
      <c r="J205" s="1704"/>
    </row>
    <row r="206" spans="2:10">
      <c r="B206" s="1700">
        <v>18250</v>
      </c>
      <c r="C206" s="1696">
        <v>3150</v>
      </c>
      <c r="D206" s="1701">
        <f t="shared" si="18"/>
        <v>19000</v>
      </c>
      <c r="E206" s="1766">
        <f t="shared" si="17"/>
        <v>20000</v>
      </c>
      <c r="F206" s="1701">
        <f t="shared" si="19"/>
        <v>1750</v>
      </c>
      <c r="G206" s="1703">
        <f t="shared" si="20"/>
        <v>9.5890410958904104E-2</v>
      </c>
      <c r="J206" s="1704"/>
    </row>
    <row r="207" spans="2:10">
      <c r="B207" s="1700">
        <v>18250</v>
      </c>
      <c r="C207" s="1696">
        <v>3150</v>
      </c>
      <c r="D207" s="1701">
        <f t="shared" si="18"/>
        <v>19000</v>
      </c>
      <c r="E207" s="1766">
        <f t="shared" si="17"/>
        <v>20000</v>
      </c>
      <c r="F207" s="1701">
        <f t="shared" si="19"/>
        <v>1750</v>
      </c>
      <c r="G207" s="1703">
        <f t="shared" si="20"/>
        <v>9.5890410958904104E-2</v>
      </c>
      <c r="J207" s="1704"/>
    </row>
    <row r="208" spans="2:10">
      <c r="B208" s="1700">
        <v>18250</v>
      </c>
      <c r="C208" s="1696">
        <v>3150</v>
      </c>
      <c r="D208" s="1701">
        <f t="shared" si="18"/>
        <v>19000</v>
      </c>
      <c r="E208" s="1766">
        <f t="shared" si="17"/>
        <v>20000</v>
      </c>
      <c r="F208" s="1701">
        <f t="shared" si="19"/>
        <v>1750</v>
      </c>
      <c r="G208" s="1703">
        <f t="shared" si="20"/>
        <v>9.5890410958904104E-2</v>
      </c>
      <c r="J208" s="1704"/>
    </row>
    <row r="209" spans="2:10">
      <c r="B209" s="1700">
        <v>18250</v>
      </c>
      <c r="C209" s="1696">
        <v>3150</v>
      </c>
      <c r="D209" s="1701">
        <f t="shared" si="18"/>
        <v>19000</v>
      </c>
      <c r="E209" s="1766">
        <f t="shared" si="17"/>
        <v>20000</v>
      </c>
      <c r="F209" s="1701">
        <f t="shared" si="19"/>
        <v>1750</v>
      </c>
      <c r="G209" s="1703">
        <f t="shared" si="20"/>
        <v>9.5890410958904104E-2</v>
      </c>
      <c r="J209" s="1704"/>
    </row>
    <row r="210" spans="2:10">
      <c r="B210" s="1700">
        <v>18250</v>
      </c>
      <c r="C210" s="1696">
        <v>3150</v>
      </c>
      <c r="D210" s="1701">
        <f t="shared" si="18"/>
        <v>19000</v>
      </c>
      <c r="E210" s="1766">
        <f t="shared" si="17"/>
        <v>20000</v>
      </c>
      <c r="F210" s="1701">
        <f t="shared" si="19"/>
        <v>1750</v>
      </c>
      <c r="G210" s="1703">
        <f t="shared" si="20"/>
        <v>9.5890410958904104E-2</v>
      </c>
      <c r="J210" s="1704"/>
    </row>
    <row r="211" spans="2:10">
      <c r="B211" s="1700">
        <v>18250</v>
      </c>
      <c r="C211" s="1696">
        <v>3150</v>
      </c>
      <c r="D211" s="1701">
        <f t="shared" si="18"/>
        <v>19000</v>
      </c>
      <c r="E211" s="1766">
        <f t="shared" si="17"/>
        <v>20000</v>
      </c>
      <c r="F211" s="1701">
        <f t="shared" si="19"/>
        <v>1750</v>
      </c>
      <c r="G211" s="1703">
        <f t="shared" si="20"/>
        <v>9.5890410958904104E-2</v>
      </c>
      <c r="J211" s="1704"/>
    </row>
    <row r="212" spans="2:10">
      <c r="B212" s="1700">
        <v>18250</v>
      </c>
      <c r="C212" s="1696">
        <v>3150</v>
      </c>
      <c r="D212" s="1701">
        <f t="shared" si="18"/>
        <v>19000</v>
      </c>
      <c r="E212" s="1766">
        <f t="shared" si="17"/>
        <v>20000</v>
      </c>
      <c r="F212" s="1701">
        <f t="shared" si="19"/>
        <v>1750</v>
      </c>
      <c r="G212" s="1703">
        <f t="shared" si="20"/>
        <v>9.5890410958904104E-2</v>
      </c>
      <c r="J212" s="1704"/>
    </row>
    <row r="213" spans="2:10">
      <c r="B213" s="1700">
        <v>18250</v>
      </c>
      <c r="C213" s="1696">
        <v>3150</v>
      </c>
      <c r="D213" s="1701">
        <f t="shared" si="18"/>
        <v>19000</v>
      </c>
      <c r="E213" s="1766">
        <f t="shared" si="17"/>
        <v>20000</v>
      </c>
      <c r="F213" s="1701">
        <f t="shared" si="19"/>
        <v>1750</v>
      </c>
      <c r="G213" s="1703">
        <f t="shared" si="20"/>
        <v>9.5890410958904104E-2</v>
      </c>
      <c r="J213" s="1704"/>
    </row>
    <row r="214" spans="2:10">
      <c r="B214" s="1700">
        <v>18250</v>
      </c>
      <c r="C214" s="1696">
        <v>3150</v>
      </c>
      <c r="D214" s="1701">
        <f t="shared" si="18"/>
        <v>19000</v>
      </c>
      <c r="E214" s="1766">
        <f t="shared" si="17"/>
        <v>20000</v>
      </c>
      <c r="F214" s="1701">
        <f t="shared" si="19"/>
        <v>1750</v>
      </c>
      <c r="G214" s="1703">
        <f t="shared" si="20"/>
        <v>9.5890410958904104E-2</v>
      </c>
      <c r="J214" s="1704"/>
    </row>
    <row r="215" spans="2:10">
      <c r="B215" s="1700">
        <v>18250</v>
      </c>
      <c r="C215" s="1696">
        <v>3150</v>
      </c>
      <c r="D215" s="1701">
        <f t="shared" si="18"/>
        <v>19000</v>
      </c>
      <c r="E215" s="1766">
        <f t="shared" si="17"/>
        <v>20000</v>
      </c>
      <c r="F215" s="1701">
        <f t="shared" si="19"/>
        <v>1750</v>
      </c>
      <c r="G215" s="1703">
        <f t="shared" si="20"/>
        <v>9.5890410958904104E-2</v>
      </c>
      <c r="J215" s="1704"/>
    </row>
    <row r="216" spans="2:10">
      <c r="B216" s="1700">
        <v>18250</v>
      </c>
      <c r="C216" s="1696">
        <v>3150</v>
      </c>
      <c r="D216" s="1701">
        <f t="shared" si="18"/>
        <v>19000</v>
      </c>
      <c r="E216" s="1766">
        <f t="shared" si="17"/>
        <v>20000</v>
      </c>
      <c r="F216" s="1701">
        <f t="shared" si="19"/>
        <v>1750</v>
      </c>
      <c r="G216" s="1703">
        <f t="shared" si="20"/>
        <v>9.5890410958904104E-2</v>
      </c>
      <c r="J216" s="1704"/>
    </row>
    <row r="217" spans="2:10">
      <c r="B217" s="1700">
        <v>18250</v>
      </c>
      <c r="C217" s="1696">
        <v>3150</v>
      </c>
      <c r="D217" s="1701">
        <f t="shared" si="18"/>
        <v>19000</v>
      </c>
      <c r="E217" s="1766">
        <f t="shared" si="17"/>
        <v>20000</v>
      </c>
      <c r="F217" s="1701">
        <f t="shared" si="19"/>
        <v>1750</v>
      </c>
      <c r="G217" s="1703">
        <f t="shared" si="20"/>
        <v>9.5890410958904104E-2</v>
      </c>
      <c r="J217" s="1704"/>
    </row>
    <row r="218" spans="2:10">
      <c r="B218" s="1700">
        <v>18250</v>
      </c>
      <c r="C218" s="1696">
        <v>3150</v>
      </c>
      <c r="D218" s="1701">
        <f t="shared" si="18"/>
        <v>19000</v>
      </c>
      <c r="E218" s="1766">
        <f t="shared" si="17"/>
        <v>20000</v>
      </c>
      <c r="F218" s="1701">
        <f t="shared" si="19"/>
        <v>1750</v>
      </c>
      <c r="G218" s="1703">
        <f t="shared" si="20"/>
        <v>9.5890410958904104E-2</v>
      </c>
      <c r="J218" s="1704"/>
    </row>
    <row r="219" spans="2:10">
      <c r="B219" s="1700">
        <v>18250</v>
      </c>
      <c r="C219" s="1696">
        <v>3150</v>
      </c>
      <c r="D219" s="1701">
        <f t="shared" si="18"/>
        <v>19000</v>
      </c>
      <c r="E219" s="1766">
        <f t="shared" si="17"/>
        <v>20000</v>
      </c>
      <c r="F219" s="1701">
        <f t="shared" si="19"/>
        <v>1750</v>
      </c>
      <c r="G219" s="1703">
        <f t="shared" si="20"/>
        <v>9.5890410958904104E-2</v>
      </c>
      <c r="J219" s="1704"/>
    </row>
    <row r="220" spans="2:10">
      <c r="B220" s="1700">
        <v>18250</v>
      </c>
      <c r="C220" s="1696">
        <v>3150</v>
      </c>
      <c r="D220" s="1701">
        <f t="shared" si="18"/>
        <v>19000</v>
      </c>
      <c r="E220" s="1766">
        <f t="shared" si="17"/>
        <v>20000</v>
      </c>
      <c r="F220" s="1701">
        <f t="shared" si="19"/>
        <v>1750</v>
      </c>
      <c r="G220" s="1703">
        <f t="shared" si="20"/>
        <v>9.5890410958904104E-2</v>
      </c>
      <c r="J220" s="1704"/>
    </row>
    <row r="221" spans="2:10">
      <c r="B221" s="1700">
        <v>18250</v>
      </c>
      <c r="C221" s="1696">
        <v>3150</v>
      </c>
      <c r="D221" s="1701">
        <f t="shared" si="18"/>
        <v>19000</v>
      </c>
      <c r="E221" s="1766">
        <f t="shared" si="17"/>
        <v>20000</v>
      </c>
      <c r="F221" s="1701">
        <f t="shared" si="19"/>
        <v>1750</v>
      </c>
      <c r="G221" s="1703">
        <f t="shared" si="20"/>
        <v>9.5890410958904104E-2</v>
      </c>
      <c r="J221" s="1704"/>
    </row>
    <row r="222" spans="2:10">
      <c r="B222" s="1700">
        <v>18250</v>
      </c>
      <c r="C222" s="1696">
        <v>3150</v>
      </c>
      <c r="D222" s="1701">
        <f t="shared" si="18"/>
        <v>19000</v>
      </c>
      <c r="E222" s="1766">
        <f t="shared" si="17"/>
        <v>20000</v>
      </c>
      <c r="F222" s="1701">
        <f t="shared" si="19"/>
        <v>1750</v>
      </c>
      <c r="G222" s="1703">
        <f t="shared" si="20"/>
        <v>9.5890410958904104E-2</v>
      </c>
      <c r="J222" s="1704"/>
    </row>
    <row r="223" spans="2:10">
      <c r="B223" s="1700">
        <v>18250</v>
      </c>
      <c r="C223" s="1696">
        <v>3150</v>
      </c>
      <c r="D223" s="1701">
        <f t="shared" si="18"/>
        <v>19000</v>
      </c>
      <c r="E223" s="1766">
        <f t="shared" si="17"/>
        <v>20000</v>
      </c>
      <c r="F223" s="1701">
        <f t="shared" si="19"/>
        <v>1750</v>
      </c>
      <c r="G223" s="1703">
        <f t="shared" si="20"/>
        <v>9.5890410958904104E-2</v>
      </c>
      <c r="J223" s="1704"/>
    </row>
    <row r="224" spans="2:10">
      <c r="B224" s="1700">
        <v>18250</v>
      </c>
      <c r="C224" s="1696">
        <v>3150</v>
      </c>
      <c r="D224" s="1701">
        <f t="shared" si="18"/>
        <v>19000</v>
      </c>
      <c r="E224" s="1766">
        <f t="shared" si="17"/>
        <v>20000</v>
      </c>
      <c r="F224" s="1701">
        <f t="shared" si="19"/>
        <v>1750</v>
      </c>
      <c r="G224" s="1703">
        <f t="shared" si="20"/>
        <v>9.5890410958904104E-2</v>
      </c>
      <c r="J224" s="1704"/>
    </row>
    <row r="225" spans="2:10">
      <c r="B225" s="1700">
        <v>18300</v>
      </c>
      <c r="C225" s="1696">
        <v>3150</v>
      </c>
      <c r="D225" s="1701">
        <f t="shared" si="18"/>
        <v>19000</v>
      </c>
      <c r="E225" s="1766">
        <f t="shared" si="17"/>
        <v>20000</v>
      </c>
      <c r="F225" s="1701">
        <f t="shared" si="19"/>
        <v>1700</v>
      </c>
      <c r="G225" s="1703">
        <f t="shared" si="20"/>
        <v>9.2896174863387984E-2</v>
      </c>
      <c r="J225" s="1704"/>
    </row>
    <row r="226" spans="2:10">
      <c r="B226" s="1700">
        <v>18304</v>
      </c>
      <c r="C226" s="1696">
        <v>3150</v>
      </c>
      <c r="D226" s="1701">
        <f t="shared" si="18"/>
        <v>19000</v>
      </c>
      <c r="E226" s="1766">
        <f t="shared" si="17"/>
        <v>20000</v>
      </c>
      <c r="F226" s="1701">
        <f t="shared" si="19"/>
        <v>1696</v>
      </c>
      <c r="G226" s="1703">
        <f t="shared" si="20"/>
        <v>9.2657342657342656E-2</v>
      </c>
      <c r="J226" s="1704"/>
    </row>
    <row r="227" spans="2:10">
      <c r="B227" s="1700">
        <v>18494.55</v>
      </c>
      <c r="C227" s="1696">
        <v>3150</v>
      </c>
      <c r="D227" s="1701">
        <f t="shared" si="18"/>
        <v>19000</v>
      </c>
      <c r="E227" s="1766">
        <f t="shared" si="17"/>
        <v>20000</v>
      </c>
      <c r="F227" s="1701">
        <f t="shared" si="19"/>
        <v>1505.4500000000007</v>
      </c>
      <c r="G227" s="1703">
        <f t="shared" si="20"/>
        <v>8.1399655574209737E-2</v>
      </c>
      <c r="J227" s="1704"/>
    </row>
    <row r="228" spans="2:10">
      <c r="B228" s="1700">
        <v>18615</v>
      </c>
      <c r="C228" s="1696">
        <v>3150</v>
      </c>
      <c r="D228" s="1701">
        <f t="shared" si="18"/>
        <v>19000</v>
      </c>
      <c r="E228" s="1766">
        <f t="shared" si="17"/>
        <v>20000</v>
      </c>
      <c r="F228" s="1701">
        <f t="shared" si="19"/>
        <v>1385</v>
      </c>
      <c r="G228" s="1703">
        <f t="shared" si="20"/>
        <v>7.4402363685200104E-2</v>
      </c>
      <c r="J228" s="1704"/>
    </row>
    <row r="229" spans="2:10">
      <c r="B229" s="1700">
        <v>18629.599999999999</v>
      </c>
      <c r="C229" s="1696">
        <v>3150</v>
      </c>
      <c r="D229" s="1701">
        <f t="shared" si="18"/>
        <v>19000</v>
      </c>
      <c r="E229" s="1766">
        <f t="shared" si="17"/>
        <v>20000</v>
      </c>
      <c r="F229" s="1701">
        <f t="shared" si="19"/>
        <v>1370.4000000000015</v>
      </c>
      <c r="G229" s="1703">
        <f t="shared" si="20"/>
        <v>7.356035556318985E-2</v>
      </c>
      <c r="J229" s="1704"/>
    </row>
    <row r="230" spans="2:10">
      <c r="B230" s="1700">
        <v>18948</v>
      </c>
      <c r="C230" s="1696">
        <v>3150</v>
      </c>
      <c r="D230" s="1701">
        <f t="shared" si="18"/>
        <v>19000</v>
      </c>
      <c r="E230" s="1766">
        <f t="shared" si="17"/>
        <v>20000</v>
      </c>
      <c r="F230" s="1701">
        <f t="shared" si="19"/>
        <v>1052</v>
      </c>
      <c r="G230" s="1703">
        <f t="shared" si="20"/>
        <v>5.5520371543170785E-2</v>
      </c>
      <c r="J230" s="1704"/>
    </row>
    <row r="231" spans="2:10">
      <c r="B231" s="1700">
        <v>18950.8</v>
      </c>
      <c r="C231" s="1696">
        <v>3288</v>
      </c>
      <c r="D231" s="1701">
        <f t="shared" si="18"/>
        <v>19000</v>
      </c>
      <c r="E231" s="1766">
        <f t="shared" si="17"/>
        <v>20000</v>
      </c>
      <c r="F231" s="1701">
        <f t="shared" si="19"/>
        <v>1049.2000000000007</v>
      </c>
      <c r="G231" s="1703">
        <f t="shared" si="20"/>
        <v>5.536441733330523E-2</v>
      </c>
      <c r="J231" s="1704"/>
    </row>
    <row r="232" spans="2:10">
      <c r="B232" s="1700">
        <v>18960</v>
      </c>
      <c r="C232" s="1696">
        <v>3288</v>
      </c>
      <c r="D232" s="1701">
        <f t="shared" si="18"/>
        <v>19000</v>
      </c>
      <c r="E232" s="1766">
        <f t="shared" si="17"/>
        <v>20000</v>
      </c>
      <c r="F232" s="1701">
        <f t="shared" si="19"/>
        <v>1040</v>
      </c>
      <c r="G232" s="1703">
        <f t="shared" si="20"/>
        <v>5.4852320675105488E-2</v>
      </c>
      <c r="J232" s="1704"/>
    </row>
    <row r="233" spans="2:10">
      <c r="B233" s="1700">
        <v>18994.599999999999</v>
      </c>
      <c r="C233" s="1696">
        <v>3288</v>
      </c>
      <c r="D233" s="1701">
        <f t="shared" si="18"/>
        <v>19000</v>
      </c>
      <c r="E233" s="1766">
        <f t="shared" si="17"/>
        <v>20000</v>
      </c>
      <c r="F233" s="1701">
        <f t="shared" si="19"/>
        <v>1005.4000000000015</v>
      </c>
      <c r="G233" s="1703">
        <f t="shared" si="20"/>
        <v>5.2930832973582045E-2</v>
      </c>
      <c r="J233" s="1704"/>
    </row>
    <row r="234" spans="2:10">
      <c r="B234" s="1700">
        <v>18998.25</v>
      </c>
      <c r="C234" s="1696">
        <v>3150</v>
      </c>
      <c r="D234" s="1701">
        <f t="shared" si="18"/>
        <v>19000</v>
      </c>
      <c r="E234" s="1766">
        <f t="shared" si="17"/>
        <v>20000</v>
      </c>
      <c r="F234" s="1701">
        <f t="shared" si="19"/>
        <v>1001.75</v>
      </c>
      <c r="G234" s="1703">
        <f t="shared" si="20"/>
        <v>5.2728540786651401E-2</v>
      </c>
      <c r="J234" s="1704"/>
    </row>
    <row r="235" spans="2:10">
      <c r="B235" s="1700">
        <v>19000</v>
      </c>
      <c r="C235" s="1696">
        <v>3150</v>
      </c>
      <c r="D235" s="1701">
        <f t="shared" si="18"/>
        <v>19000</v>
      </c>
      <c r="E235" s="1766">
        <f t="shared" si="17"/>
        <v>20000</v>
      </c>
      <c r="F235" s="1701">
        <f t="shared" si="19"/>
        <v>1000</v>
      </c>
      <c r="G235" s="1703">
        <f t="shared" si="20"/>
        <v>5.2631578947368418E-2</v>
      </c>
      <c r="J235" s="1704"/>
    </row>
    <row r="236" spans="2:10">
      <c r="B236" s="1700">
        <v>19023</v>
      </c>
      <c r="C236" s="1696">
        <v>3288</v>
      </c>
      <c r="D236" s="1701">
        <f t="shared" si="18"/>
        <v>20000</v>
      </c>
      <c r="E236" s="1766">
        <f t="shared" si="17"/>
        <v>20000</v>
      </c>
      <c r="F236" s="1701">
        <f t="shared" si="19"/>
        <v>977</v>
      </c>
      <c r="G236" s="1703">
        <f t="shared" si="20"/>
        <v>5.1358881354150239E-2</v>
      </c>
      <c r="J236" s="1704"/>
    </row>
    <row r="237" spans="2:10">
      <c r="B237" s="1700">
        <v>19023.8</v>
      </c>
      <c r="C237" s="1696">
        <v>3150</v>
      </c>
      <c r="D237" s="1701">
        <f t="shared" si="18"/>
        <v>20000</v>
      </c>
      <c r="E237" s="1766">
        <f t="shared" si="17"/>
        <v>20000</v>
      </c>
      <c r="F237" s="1701">
        <f t="shared" si="19"/>
        <v>976.20000000000073</v>
      </c>
      <c r="G237" s="1703">
        <f t="shared" si="20"/>
        <v>5.1314668993576507E-2</v>
      </c>
      <c r="J237" s="1704"/>
    </row>
    <row r="238" spans="2:10">
      <c r="B238" s="1700">
        <v>19080</v>
      </c>
      <c r="C238" s="1696">
        <v>3150</v>
      </c>
      <c r="D238" s="1701">
        <f t="shared" si="18"/>
        <v>20000</v>
      </c>
      <c r="E238" s="1766">
        <f t="shared" si="17"/>
        <v>20000</v>
      </c>
      <c r="F238" s="1701">
        <f t="shared" si="19"/>
        <v>920</v>
      </c>
      <c r="G238" s="1703">
        <f t="shared" si="20"/>
        <v>4.8218029350104823E-2</v>
      </c>
      <c r="J238" s="1704"/>
    </row>
    <row r="239" spans="2:10">
      <c r="B239" s="1700">
        <v>19297.55</v>
      </c>
      <c r="C239" s="1696">
        <v>3288</v>
      </c>
      <c r="D239" s="1701">
        <f t="shared" si="18"/>
        <v>20000</v>
      </c>
      <c r="E239" s="1766">
        <f t="shared" si="17"/>
        <v>20000</v>
      </c>
      <c r="F239" s="1701">
        <f t="shared" si="19"/>
        <v>702.45000000000073</v>
      </c>
      <c r="G239" s="1703">
        <f t="shared" si="20"/>
        <v>3.6400993908553197E-2</v>
      </c>
      <c r="J239" s="1704"/>
    </row>
    <row r="240" spans="2:10">
      <c r="B240" s="1700">
        <v>19359.599999999999</v>
      </c>
      <c r="C240" s="1696">
        <v>3150</v>
      </c>
      <c r="D240" s="1701">
        <f t="shared" si="18"/>
        <v>20000</v>
      </c>
      <c r="E240" s="1766">
        <f t="shared" si="17"/>
        <v>20000</v>
      </c>
      <c r="F240" s="1701">
        <f t="shared" si="19"/>
        <v>640.40000000000146</v>
      </c>
      <c r="G240" s="1703">
        <f t="shared" si="20"/>
        <v>3.3079195851154028E-2</v>
      </c>
      <c r="J240" s="1704"/>
    </row>
    <row r="241" spans="2:10">
      <c r="B241" s="1700">
        <v>19407.05</v>
      </c>
      <c r="C241" s="1696">
        <v>3150</v>
      </c>
      <c r="D241" s="1701">
        <f t="shared" si="18"/>
        <v>20000</v>
      </c>
      <c r="E241" s="1766">
        <f t="shared" si="17"/>
        <v>20000</v>
      </c>
      <c r="F241" s="1701">
        <f t="shared" si="19"/>
        <v>592.95000000000073</v>
      </c>
      <c r="G241" s="1703">
        <f t="shared" si="20"/>
        <v>3.0553329846627938E-2</v>
      </c>
      <c r="J241" s="1704"/>
    </row>
    <row r="242" spans="2:10">
      <c r="B242" s="1700">
        <v>19407.05</v>
      </c>
      <c r="C242" s="1696">
        <v>3150</v>
      </c>
      <c r="D242" s="1701">
        <f t="shared" si="18"/>
        <v>20000</v>
      </c>
      <c r="E242" s="1766">
        <f t="shared" si="17"/>
        <v>20000</v>
      </c>
      <c r="F242" s="1701">
        <f t="shared" si="19"/>
        <v>592.95000000000073</v>
      </c>
      <c r="G242" s="1703">
        <f t="shared" si="20"/>
        <v>3.0553329846627938E-2</v>
      </c>
      <c r="J242" s="1704"/>
    </row>
    <row r="243" spans="2:10">
      <c r="B243" s="1700">
        <v>19407.05</v>
      </c>
      <c r="C243" s="1696">
        <v>3150</v>
      </c>
      <c r="D243" s="1701">
        <f t="shared" si="18"/>
        <v>20000</v>
      </c>
      <c r="E243" s="1766">
        <f t="shared" si="17"/>
        <v>20000</v>
      </c>
      <c r="F243" s="1701">
        <f t="shared" si="19"/>
        <v>592.95000000000073</v>
      </c>
      <c r="G243" s="1703">
        <f t="shared" si="20"/>
        <v>3.0553329846627938E-2</v>
      </c>
      <c r="J243" s="1704"/>
    </row>
    <row r="244" spans="2:10">
      <c r="B244" s="1700">
        <v>19498.3</v>
      </c>
      <c r="C244" s="1696">
        <v>3150</v>
      </c>
      <c r="D244" s="1701">
        <f t="shared" si="18"/>
        <v>20000</v>
      </c>
      <c r="E244" s="1766">
        <f t="shared" si="17"/>
        <v>20000</v>
      </c>
      <c r="F244" s="1701">
        <f t="shared" si="19"/>
        <v>501.70000000000073</v>
      </c>
      <c r="G244" s="1703">
        <f t="shared" si="20"/>
        <v>2.5730448295492467E-2</v>
      </c>
      <c r="J244" s="1704"/>
    </row>
    <row r="245" spans="2:10">
      <c r="B245" s="1700">
        <v>19510</v>
      </c>
      <c r="C245" s="1696">
        <v>3150</v>
      </c>
      <c r="D245" s="1701">
        <f t="shared" si="18"/>
        <v>20000</v>
      </c>
      <c r="E245" s="1766">
        <f t="shared" ref="E245:E274" si="21">IF(B245&lt;=20000,20000)</f>
        <v>20000</v>
      </c>
      <c r="F245" s="1701">
        <f t="shared" si="19"/>
        <v>490</v>
      </c>
      <c r="G245" s="1703">
        <f t="shared" si="20"/>
        <v>2.5115325474115838E-2</v>
      </c>
      <c r="J245" s="1704"/>
    </row>
    <row r="246" spans="2:10">
      <c r="B246" s="1700">
        <v>19510</v>
      </c>
      <c r="C246" s="1696">
        <v>3150</v>
      </c>
      <c r="D246" s="1701">
        <f t="shared" si="18"/>
        <v>20000</v>
      </c>
      <c r="E246" s="1766">
        <f t="shared" si="21"/>
        <v>20000</v>
      </c>
      <c r="F246" s="1701">
        <f t="shared" si="19"/>
        <v>490</v>
      </c>
      <c r="G246" s="1703">
        <f t="shared" si="20"/>
        <v>2.5115325474115838E-2</v>
      </c>
      <c r="J246" s="1704"/>
    </row>
    <row r="247" spans="2:10">
      <c r="B247" s="1700">
        <v>19510</v>
      </c>
      <c r="C247" s="1696">
        <v>3150</v>
      </c>
      <c r="D247" s="1701">
        <f t="shared" si="18"/>
        <v>20000</v>
      </c>
      <c r="E247" s="1766">
        <f t="shared" si="21"/>
        <v>20000</v>
      </c>
      <c r="F247" s="1701">
        <f t="shared" si="19"/>
        <v>490</v>
      </c>
      <c r="G247" s="1703">
        <f t="shared" si="20"/>
        <v>2.5115325474115838E-2</v>
      </c>
      <c r="J247" s="1704"/>
    </row>
    <row r="248" spans="2:10">
      <c r="B248" s="1700">
        <v>19510</v>
      </c>
      <c r="C248" s="1696">
        <v>3150</v>
      </c>
      <c r="D248" s="1701">
        <f t="shared" si="18"/>
        <v>20000</v>
      </c>
      <c r="E248" s="1766">
        <f t="shared" si="21"/>
        <v>20000</v>
      </c>
      <c r="F248" s="1701">
        <f t="shared" si="19"/>
        <v>490</v>
      </c>
      <c r="G248" s="1703">
        <f t="shared" si="20"/>
        <v>2.5115325474115838E-2</v>
      </c>
      <c r="J248" s="1704"/>
    </row>
    <row r="249" spans="2:10">
      <c r="B249" s="1700">
        <v>19510</v>
      </c>
      <c r="C249" s="1696">
        <v>3150</v>
      </c>
      <c r="D249" s="1701">
        <f t="shared" si="18"/>
        <v>20000</v>
      </c>
      <c r="E249" s="1766">
        <f t="shared" si="21"/>
        <v>20000</v>
      </c>
      <c r="F249" s="1701">
        <f t="shared" si="19"/>
        <v>490</v>
      </c>
      <c r="G249" s="1703">
        <f t="shared" si="20"/>
        <v>2.5115325474115838E-2</v>
      </c>
      <c r="J249" s="1704"/>
    </row>
    <row r="250" spans="2:10">
      <c r="B250" s="1700">
        <v>19510</v>
      </c>
      <c r="C250" s="1696">
        <v>3150</v>
      </c>
      <c r="D250" s="1701">
        <f t="shared" si="18"/>
        <v>20000</v>
      </c>
      <c r="E250" s="1766">
        <f t="shared" si="21"/>
        <v>20000</v>
      </c>
      <c r="F250" s="1701">
        <f t="shared" si="19"/>
        <v>490</v>
      </c>
      <c r="G250" s="1703">
        <f t="shared" si="20"/>
        <v>2.5115325474115838E-2</v>
      </c>
      <c r="J250" s="1704"/>
    </row>
    <row r="251" spans="2:10">
      <c r="B251" s="1700">
        <v>19510</v>
      </c>
      <c r="C251" s="1696">
        <v>3150</v>
      </c>
      <c r="D251" s="1701">
        <f t="shared" si="18"/>
        <v>20000</v>
      </c>
      <c r="E251" s="1766">
        <f t="shared" si="21"/>
        <v>20000</v>
      </c>
      <c r="F251" s="1701">
        <f t="shared" si="19"/>
        <v>490</v>
      </c>
      <c r="G251" s="1703">
        <f t="shared" si="20"/>
        <v>2.5115325474115838E-2</v>
      </c>
      <c r="J251" s="1704"/>
    </row>
    <row r="252" spans="2:10">
      <c r="B252" s="1700">
        <v>19510</v>
      </c>
      <c r="C252" s="1696">
        <v>3150</v>
      </c>
      <c r="D252" s="1701">
        <f t="shared" si="18"/>
        <v>20000</v>
      </c>
      <c r="E252" s="1766">
        <f t="shared" si="21"/>
        <v>20000</v>
      </c>
      <c r="F252" s="1701">
        <f t="shared" si="19"/>
        <v>490</v>
      </c>
      <c r="G252" s="1703">
        <f t="shared" si="20"/>
        <v>2.5115325474115838E-2</v>
      </c>
      <c r="J252" s="1704"/>
    </row>
    <row r="253" spans="2:10">
      <c r="B253" s="1700">
        <v>19510</v>
      </c>
      <c r="C253" s="1696">
        <v>3150</v>
      </c>
      <c r="D253" s="1701">
        <f t="shared" si="18"/>
        <v>20000</v>
      </c>
      <c r="E253" s="1766">
        <f t="shared" si="21"/>
        <v>20000</v>
      </c>
      <c r="F253" s="1701">
        <f t="shared" si="19"/>
        <v>490</v>
      </c>
      <c r="G253" s="1703">
        <f t="shared" si="20"/>
        <v>2.5115325474115838E-2</v>
      </c>
      <c r="J253" s="1704"/>
    </row>
    <row r="254" spans="2:10">
      <c r="B254" s="1700">
        <v>19510</v>
      </c>
      <c r="C254" s="1696">
        <v>3150</v>
      </c>
      <c r="D254" s="1701">
        <f t="shared" si="18"/>
        <v>20000</v>
      </c>
      <c r="E254" s="1766">
        <f t="shared" si="21"/>
        <v>20000</v>
      </c>
      <c r="F254" s="1701">
        <f t="shared" si="19"/>
        <v>490</v>
      </c>
      <c r="G254" s="1703">
        <f t="shared" si="20"/>
        <v>2.5115325474115838E-2</v>
      </c>
      <c r="J254" s="1704"/>
    </row>
    <row r="255" spans="2:10">
      <c r="B255" s="1700">
        <v>19510</v>
      </c>
      <c r="C255" s="1696">
        <v>3150</v>
      </c>
      <c r="D255" s="1701">
        <f t="shared" si="18"/>
        <v>20000</v>
      </c>
      <c r="E255" s="1766">
        <f t="shared" si="21"/>
        <v>20000</v>
      </c>
      <c r="F255" s="1701">
        <f t="shared" si="19"/>
        <v>490</v>
      </c>
      <c r="G255" s="1703">
        <f t="shared" si="20"/>
        <v>2.5115325474115838E-2</v>
      </c>
      <c r="J255" s="1704"/>
    </row>
    <row r="256" spans="2:10">
      <c r="B256" s="1700">
        <v>19510</v>
      </c>
      <c r="C256" s="1696">
        <v>3150</v>
      </c>
      <c r="D256" s="1701">
        <f t="shared" si="18"/>
        <v>20000</v>
      </c>
      <c r="E256" s="1766">
        <f t="shared" si="21"/>
        <v>20000</v>
      </c>
      <c r="F256" s="1701">
        <f t="shared" si="19"/>
        <v>490</v>
      </c>
      <c r="G256" s="1703">
        <f t="shared" si="20"/>
        <v>2.5115325474115838E-2</v>
      </c>
      <c r="J256" s="1704"/>
    </row>
    <row r="257" spans="2:10">
      <c r="B257" s="1700">
        <v>19510</v>
      </c>
      <c r="C257" s="1696">
        <v>3150</v>
      </c>
      <c r="D257" s="1701">
        <f t="shared" si="18"/>
        <v>20000</v>
      </c>
      <c r="E257" s="1766">
        <f t="shared" si="21"/>
        <v>20000</v>
      </c>
      <c r="F257" s="1701">
        <f t="shared" si="19"/>
        <v>490</v>
      </c>
      <c r="G257" s="1703">
        <f t="shared" si="20"/>
        <v>2.5115325474115838E-2</v>
      </c>
      <c r="J257" s="1704"/>
    </row>
    <row r="258" spans="2:10">
      <c r="B258" s="1700">
        <v>19510</v>
      </c>
      <c r="C258" s="1696">
        <v>3150</v>
      </c>
      <c r="D258" s="1701">
        <f t="shared" ref="D258:D321" si="22">ROUNDUP(B258,-3)</f>
        <v>20000</v>
      </c>
      <c r="E258" s="1766">
        <f t="shared" si="21"/>
        <v>20000</v>
      </c>
      <c r="F258" s="1701">
        <f t="shared" ref="F258:F321" si="23">E258-B258</f>
        <v>490</v>
      </c>
      <c r="G258" s="1703">
        <f t="shared" ref="G258:G321" si="24">F258/B258</f>
        <v>2.5115325474115838E-2</v>
      </c>
      <c r="J258" s="1704"/>
    </row>
    <row r="259" spans="2:10">
      <c r="B259" s="1700">
        <v>19510</v>
      </c>
      <c r="C259" s="1696">
        <v>3150</v>
      </c>
      <c r="D259" s="1701">
        <f t="shared" si="22"/>
        <v>20000</v>
      </c>
      <c r="E259" s="1766">
        <f t="shared" si="21"/>
        <v>20000</v>
      </c>
      <c r="F259" s="1701">
        <f t="shared" si="23"/>
        <v>490</v>
      </c>
      <c r="G259" s="1703">
        <f t="shared" si="24"/>
        <v>2.5115325474115838E-2</v>
      </c>
      <c r="J259" s="1704"/>
    </row>
    <row r="260" spans="2:10">
      <c r="B260" s="1700">
        <v>19650</v>
      </c>
      <c r="C260" s="1696">
        <v>3150</v>
      </c>
      <c r="D260" s="1701">
        <f t="shared" si="22"/>
        <v>20000</v>
      </c>
      <c r="E260" s="1766">
        <f t="shared" si="21"/>
        <v>20000</v>
      </c>
      <c r="F260" s="1701">
        <f t="shared" si="23"/>
        <v>350</v>
      </c>
      <c r="G260" s="1703">
        <f t="shared" si="24"/>
        <v>1.7811704834605598E-2</v>
      </c>
      <c r="J260" s="1704"/>
    </row>
    <row r="261" spans="2:10">
      <c r="B261" s="1700">
        <v>19650</v>
      </c>
      <c r="C261" s="1696">
        <v>3150</v>
      </c>
      <c r="D261" s="1701">
        <f t="shared" si="22"/>
        <v>20000</v>
      </c>
      <c r="E261" s="1766">
        <f t="shared" si="21"/>
        <v>20000</v>
      </c>
      <c r="F261" s="1701">
        <f t="shared" si="23"/>
        <v>350</v>
      </c>
      <c r="G261" s="1703">
        <f t="shared" si="24"/>
        <v>1.7811704834605598E-2</v>
      </c>
      <c r="J261" s="1704"/>
    </row>
    <row r="262" spans="2:10">
      <c r="B262" s="1700">
        <v>19964</v>
      </c>
      <c r="C262" s="1696">
        <v>3288</v>
      </c>
      <c r="D262" s="1701">
        <f t="shared" si="22"/>
        <v>20000</v>
      </c>
      <c r="E262" s="1766">
        <f t="shared" si="21"/>
        <v>20000</v>
      </c>
      <c r="F262" s="1701">
        <f t="shared" si="23"/>
        <v>36</v>
      </c>
      <c r="G262" s="1703">
        <f t="shared" si="24"/>
        <v>1.8032458425165298E-3</v>
      </c>
      <c r="J262" s="1704"/>
    </row>
    <row r="263" spans="2:10">
      <c r="B263" s="1700">
        <v>19998.349999999999</v>
      </c>
      <c r="C263" s="1696">
        <v>3150</v>
      </c>
      <c r="D263" s="1701">
        <f t="shared" si="22"/>
        <v>20000</v>
      </c>
      <c r="E263" s="1766">
        <f t="shared" si="21"/>
        <v>20000</v>
      </c>
      <c r="F263" s="1701">
        <f t="shared" si="23"/>
        <v>1.6500000000014552</v>
      </c>
      <c r="G263" s="1703">
        <f t="shared" si="24"/>
        <v>8.2506806811634726E-5</v>
      </c>
      <c r="J263" s="1704"/>
    </row>
    <row r="264" spans="2:10">
      <c r="B264" s="1700">
        <v>19998.349999999999</v>
      </c>
      <c r="C264" s="1696">
        <v>3150</v>
      </c>
      <c r="D264" s="1701">
        <f t="shared" si="22"/>
        <v>20000</v>
      </c>
      <c r="E264" s="1766">
        <f t="shared" si="21"/>
        <v>20000</v>
      </c>
      <c r="F264" s="1701">
        <f t="shared" si="23"/>
        <v>1.6500000000014552</v>
      </c>
      <c r="G264" s="1703">
        <f t="shared" si="24"/>
        <v>8.2506806811634726E-5</v>
      </c>
      <c r="J264" s="1704"/>
    </row>
    <row r="265" spans="2:10">
      <c r="B265" s="1700">
        <v>19998.349999999999</v>
      </c>
      <c r="C265" s="1696">
        <v>3150</v>
      </c>
      <c r="D265" s="1701">
        <f t="shared" si="22"/>
        <v>20000</v>
      </c>
      <c r="E265" s="1766">
        <f t="shared" si="21"/>
        <v>20000</v>
      </c>
      <c r="F265" s="1701">
        <f t="shared" si="23"/>
        <v>1.6500000000014552</v>
      </c>
      <c r="G265" s="1703">
        <f t="shared" si="24"/>
        <v>8.2506806811634726E-5</v>
      </c>
      <c r="J265" s="1704"/>
    </row>
    <row r="266" spans="2:10">
      <c r="B266" s="1700">
        <v>19998.349999999999</v>
      </c>
      <c r="C266" s="1696">
        <v>3150</v>
      </c>
      <c r="D266" s="1701">
        <f t="shared" si="22"/>
        <v>20000</v>
      </c>
      <c r="E266" s="1766">
        <f t="shared" si="21"/>
        <v>20000</v>
      </c>
      <c r="F266" s="1701">
        <f t="shared" si="23"/>
        <v>1.6500000000014552</v>
      </c>
      <c r="G266" s="1703">
        <f t="shared" si="24"/>
        <v>8.2506806811634726E-5</v>
      </c>
      <c r="J266" s="1704"/>
    </row>
    <row r="267" spans="2:10">
      <c r="B267" s="1700">
        <v>19998.349999999999</v>
      </c>
      <c r="C267" s="1696">
        <v>3150</v>
      </c>
      <c r="D267" s="1701">
        <f t="shared" si="22"/>
        <v>20000</v>
      </c>
      <c r="E267" s="1766">
        <f t="shared" si="21"/>
        <v>20000</v>
      </c>
      <c r="F267" s="1701">
        <f t="shared" si="23"/>
        <v>1.6500000000014552</v>
      </c>
      <c r="G267" s="1703">
        <f t="shared" si="24"/>
        <v>8.2506806811634726E-5</v>
      </c>
      <c r="J267" s="1704"/>
    </row>
    <row r="268" spans="2:10">
      <c r="B268" s="1700">
        <v>19998.349999999999</v>
      </c>
      <c r="C268" s="1696">
        <v>3150</v>
      </c>
      <c r="D268" s="1701">
        <f t="shared" si="22"/>
        <v>20000</v>
      </c>
      <c r="E268" s="1766">
        <f t="shared" si="21"/>
        <v>20000</v>
      </c>
      <c r="F268" s="1701">
        <f t="shared" si="23"/>
        <v>1.6500000000014552</v>
      </c>
      <c r="G268" s="1703">
        <f t="shared" si="24"/>
        <v>8.2506806811634726E-5</v>
      </c>
      <c r="J268" s="1704"/>
    </row>
    <row r="269" spans="2:10">
      <c r="B269" s="1700">
        <v>19998.349999999999</v>
      </c>
      <c r="C269" s="1696">
        <v>3150</v>
      </c>
      <c r="D269" s="1701">
        <f t="shared" si="22"/>
        <v>20000</v>
      </c>
      <c r="E269" s="1766">
        <f t="shared" si="21"/>
        <v>20000</v>
      </c>
      <c r="F269" s="1701">
        <f t="shared" si="23"/>
        <v>1.6500000000014552</v>
      </c>
      <c r="G269" s="1703">
        <f t="shared" si="24"/>
        <v>8.2506806811634726E-5</v>
      </c>
      <c r="J269" s="1704"/>
    </row>
    <row r="270" spans="2:10">
      <c r="B270" s="1700">
        <v>19998.349999999999</v>
      </c>
      <c r="C270" s="1696">
        <v>3150</v>
      </c>
      <c r="D270" s="1701">
        <f t="shared" si="22"/>
        <v>20000</v>
      </c>
      <c r="E270" s="1766">
        <f t="shared" si="21"/>
        <v>20000</v>
      </c>
      <c r="F270" s="1701">
        <f t="shared" si="23"/>
        <v>1.6500000000014552</v>
      </c>
      <c r="G270" s="1703">
        <f t="shared" si="24"/>
        <v>8.2506806811634726E-5</v>
      </c>
      <c r="J270" s="1704"/>
    </row>
    <row r="271" spans="2:10">
      <c r="B271" s="1700">
        <v>19998.349999999999</v>
      </c>
      <c r="C271" s="1696">
        <v>3288</v>
      </c>
      <c r="D271" s="1701">
        <f t="shared" si="22"/>
        <v>20000</v>
      </c>
      <c r="E271" s="1766">
        <f t="shared" si="21"/>
        <v>20000</v>
      </c>
      <c r="F271" s="1701">
        <f t="shared" si="23"/>
        <v>1.6500000000014552</v>
      </c>
      <c r="G271" s="1703">
        <f t="shared" si="24"/>
        <v>8.2506806811634726E-5</v>
      </c>
      <c r="J271" s="1704"/>
    </row>
    <row r="272" spans="2:10">
      <c r="B272" s="1700">
        <v>19998.349999999999</v>
      </c>
      <c r="C272" s="1696">
        <v>3288</v>
      </c>
      <c r="D272" s="1701">
        <f t="shared" si="22"/>
        <v>20000</v>
      </c>
      <c r="E272" s="1766">
        <f t="shared" si="21"/>
        <v>20000</v>
      </c>
      <c r="F272" s="1701">
        <f t="shared" si="23"/>
        <v>1.6500000000014552</v>
      </c>
      <c r="G272" s="1703">
        <f t="shared" si="24"/>
        <v>8.2506806811634726E-5</v>
      </c>
      <c r="J272" s="1704"/>
    </row>
    <row r="273" spans="2:10">
      <c r="B273" s="1700">
        <v>20000</v>
      </c>
      <c r="C273" s="1696">
        <v>3150</v>
      </c>
      <c r="D273" s="1701">
        <f t="shared" si="22"/>
        <v>20000</v>
      </c>
      <c r="E273" s="1766">
        <f t="shared" si="21"/>
        <v>20000</v>
      </c>
      <c r="F273" s="1701">
        <f t="shared" si="23"/>
        <v>0</v>
      </c>
      <c r="G273" s="1703">
        <f t="shared" si="24"/>
        <v>0</v>
      </c>
      <c r="J273" s="1704"/>
    </row>
    <row r="274" spans="2:10">
      <c r="B274" s="1700">
        <v>20000</v>
      </c>
      <c r="C274" s="1696">
        <v>3150</v>
      </c>
      <c r="D274" s="1701">
        <f t="shared" si="22"/>
        <v>20000</v>
      </c>
      <c r="E274" s="1766">
        <f t="shared" si="21"/>
        <v>20000</v>
      </c>
      <c r="F274" s="1701">
        <f t="shared" si="23"/>
        <v>0</v>
      </c>
      <c r="G274" s="1703">
        <f t="shared" si="24"/>
        <v>0</v>
      </c>
      <c r="J274" s="1704"/>
    </row>
    <row r="275" spans="2:10">
      <c r="B275" s="1700">
        <v>20002</v>
      </c>
      <c r="C275" s="1696">
        <v>3150</v>
      </c>
      <c r="D275" s="1701">
        <f t="shared" si="22"/>
        <v>21000</v>
      </c>
      <c r="E275" s="1767">
        <v>22500</v>
      </c>
      <c r="F275" s="1701">
        <f t="shared" si="23"/>
        <v>2498</v>
      </c>
      <c r="G275" s="1703">
        <f t="shared" si="24"/>
        <v>0.12488751124887511</v>
      </c>
      <c r="H275" s="1747">
        <v>44</v>
      </c>
      <c r="J275" s="1748">
        <f>AVERAGE(B275:B318)</f>
        <v>21142.372727272726</v>
      </c>
    </row>
    <row r="276" spans="2:10">
      <c r="B276" s="1700">
        <v>20002</v>
      </c>
      <c r="C276" s="1696">
        <v>3150</v>
      </c>
      <c r="D276" s="1701">
        <f t="shared" si="22"/>
        <v>21000</v>
      </c>
      <c r="E276" s="1767">
        <v>22500</v>
      </c>
      <c r="F276" s="1701">
        <f t="shared" si="23"/>
        <v>2498</v>
      </c>
      <c r="G276" s="1703">
        <f t="shared" si="24"/>
        <v>0.12488751124887511</v>
      </c>
      <c r="J276" s="1704"/>
    </row>
    <row r="277" spans="2:10">
      <c r="B277" s="1700">
        <v>20009.3</v>
      </c>
      <c r="C277" s="1696">
        <v>3150</v>
      </c>
      <c r="D277" s="1701">
        <f t="shared" si="22"/>
        <v>21000</v>
      </c>
      <c r="E277" s="1767">
        <v>22500</v>
      </c>
      <c r="F277" s="1701">
        <f t="shared" si="23"/>
        <v>2490.7000000000007</v>
      </c>
      <c r="G277" s="1703">
        <f t="shared" si="24"/>
        <v>0.12447711814006492</v>
      </c>
      <c r="J277" s="1704"/>
    </row>
    <row r="278" spans="2:10">
      <c r="B278" s="1700">
        <v>20016.599999999999</v>
      </c>
      <c r="C278" s="1696">
        <v>3150</v>
      </c>
      <c r="D278" s="1701">
        <f t="shared" si="22"/>
        <v>21000</v>
      </c>
      <c r="E278" s="1767">
        <v>22500</v>
      </c>
      <c r="F278" s="1701">
        <f t="shared" si="23"/>
        <v>2483.4000000000015</v>
      </c>
      <c r="G278" s="1703">
        <f t="shared" si="24"/>
        <v>0.12406702436977317</v>
      </c>
      <c r="J278" s="1704"/>
    </row>
    <row r="279" spans="2:10">
      <c r="B279" s="1700">
        <v>20075</v>
      </c>
      <c r="C279" s="1696">
        <v>3150</v>
      </c>
      <c r="D279" s="1701">
        <f t="shared" si="22"/>
        <v>21000</v>
      </c>
      <c r="E279" s="1767">
        <v>22500</v>
      </c>
      <c r="F279" s="1701">
        <f t="shared" si="23"/>
        <v>2425</v>
      </c>
      <c r="G279" s="1703">
        <f t="shared" si="24"/>
        <v>0.12079701120797011</v>
      </c>
      <c r="J279" s="1704"/>
    </row>
    <row r="280" spans="2:10">
      <c r="B280" s="1700">
        <v>20075</v>
      </c>
      <c r="C280" s="1696">
        <v>3150</v>
      </c>
      <c r="D280" s="1701">
        <f t="shared" si="22"/>
        <v>21000</v>
      </c>
      <c r="E280" s="1767">
        <v>22500</v>
      </c>
      <c r="F280" s="1701">
        <f t="shared" si="23"/>
        <v>2425</v>
      </c>
      <c r="G280" s="1703">
        <f t="shared" si="24"/>
        <v>0.12079701120797011</v>
      </c>
      <c r="J280" s="1704"/>
    </row>
    <row r="281" spans="2:10">
      <c r="B281" s="1700">
        <v>20075</v>
      </c>
      <c r="C281" s="1696">
        <v>3150</v>
      </c>
      <c r="D281" s="1701">
        <f t="shared" si="22"/>
        <v>21000</v>
      </c>
      <c r="E281" s="1767">
        <v>22500</v>
      </c>
      <c r="F281" s="1701">
        <f t="shared" si="23"/>
        <v>2425</v>
      </c>
      <c r="G281" s="1703">
        <f t="shared" si="24"/>
        <v>0.12079701120797011</v>
      </c>
      <c r="J281" s="1704"/>
    </row>
    <row r="282" spans="2:10">
      <c r="B282" s="1700">
        <v>20075</v>
      </c>
      <c r="C282" s="1696">
        <v>3150</v>
      </c>
      <c r="D282" s="1701">
        <f t="shared" si="22"/>
        <v>21000</v>
      </c>
      <c r="E282" s="1767">
        <v>22500</v>
      </c>
      <c r="F282" s="1701">
        <f t="shared" si="23"/>
        <v>2425</v>
      </c>
      <c r="G282" s="1703">
        <f t="shared" si="24"/>
        <v>0.12079701120797011</v>
      </c>
      <c r="J282" s="1704"/>
    </row>
    <row r="283" spans="2:10">
      <c r="B283" s="1700">
        <v>20075</v>
      </c>
      <c r="C283" s="1696">
        <v>3150</v>
      </c>
      <c r="D283" s="1701">
        <f t="shared" si="22"/>
        <v>21000</v>
      </c>
      <c r="E283" s="1767">
        <v>22500</v>
      </c>
      <c r="F283" s="1701">
        <f t="shared" si="23"/>
        <v>2425</v>
      </c>
      <c r="G283" s="1703">
        <f t="shared" si="24"/>
        <v>0.12079701120797011</v>
      </c>
      <c r="J283" s="1704"/>
    </row>
    <row r="284" spans="2:10">
      <c r="B284" s="1700">
        <v>20400</v>
      </c>
      <c r="C284" s="1696">
        <v>3150</v>
      </c>
      <c r="D284" s="1701">
        <f t="shared" si="22"/>
        <v>21000</v>
      </c>
      <c r="E284" s="1767">
        <v>22500</v>
      </c>
      <c r="F284" s="1701">
        <f t="shared" si="23"/>
        <v>2100</v>
      </c>
      <c r="G284" s="1703">
        <f t="shared" si="24"/>
        <v>0.10294117647058823</v>
      </c>
      <c r="J284" s="1704"/>
    </row>
    <row r="285" spans="2:10">
      <c r="B285" s="1700">
        <v>20458.25</v>
      </c>
      <c r="C285" s="1696">
        <v>3150</v>
      </c>
      <c r="D285" s="1701">
        <f t="shared" si="22"/>
        <v>21000</v>
      </c>
      <c r="E285" s="1767">
        <v>22500</v>
      </c>
      <c r="F285" s="1701">
        <f t="shared" si="23"/>
        <v>2041.75</v>
      </c>
      <c r="G285" s="1703">
        <f t="shared" si="24"/>
        <v>9.9800813852602255E-2</v>
      </c>
      <c r="J285" s="1704"/>
    </row>
    <row r="286" spans="2:10">
      <c r="B286" s="1700">
        <v>20553.150000000001</v>
      </c>
      <c r="C286" s="1696">
        <v>3150</v>
      </c>
      <c r="D286" s="1701">
        <f t="shared" si="22"/>
        <v>21000</v>
      </c>
      <c r="E286" s="1767">
        <v>22500</v>
      </c>
      <c r="F286" s="1701">
        <f t="shared" si="23"/>
        <v>1946.8499999999985</v>
      </c>
      <c r="G286" s="1703">
        <f t="shared" si="24"/>
        <v>9.4722706738383095E-2</v>
      </c>
      <c r="J286" s="1704"/>
    </row>
    <row r="287" spans="2:10">
      <c r="B287" s="1700">
        <v>20626.150000000001</v>
      </c>
      <c r="C287" s="1696">
        <v>3150</v>
      </c>
      <c r="D287" s="1701">
        <f t="shared" si="22"/>
        <v>21000</v>
      </c>
      <c r="E287" s="1767">
        <v>22500</v>
      </c>
      <c r="F287" s="1701">
        <f t="shared" si="23"/>
        <v>1873.8499999999985</v>
      </c>
      <c r="G287" s="1703">
        <f t="shared" si="24"/>
        <v>9.0848267854155937E-2</v>
      </c>
      <c r="J287" s="1704"/>
    </row>
    <row r="288" spans="2:10">
      <c r="B288" s="1700">
        <v>20675</v>
      </c>
      <c r="C288" s="1696">
        <v>3150</v>
      </c>
      <c r="D288" s="1701">
        <f t="shared" si="22"/>
        <v>21000</v>
      </c>
      <c r="E288" s="1767">
        <v>22500</v>
      </c>
      <c r="F288" s="1701">
        <f t="shared" si="23"/>
        <v>1825</v>
      </c>
      <c r="G288" s="1703">
        <f t="shared" si="24"/>
        <v>8.8270858524788387E-2</v>
      </c>
      <c r="J288" s="1704"/>
    </row>
    <row r="289" spans="2:10">
      <c r="B289" s="1700">
        <v>20805</v>
      </c>
      <c r="C289" s="1696">
        <v>3150</v>
      </c>
      <c r="D289" s="1701">
        <f t="shared" si="22"/>
        <v>21000</v>
      </c>
      <c r="E289" s="1767">
        <v>22500</v>
      </c>
      <c r="F289" s="1701">
        <f t="shared" si="23"/>
        <v>1695</v>
      </c>
      <c r="G289" s="1703">
        <f t="shared" si="24"/>
        <v>8.1470800288392209E-2</v>
      </c>
      <c r="J289" s="1704"/>
    </row>
    <row r="290" spans="2:10">
      <c r="B290" s="1700">
        <v>20988</v>
      </c>
      <c r="C290" s="1696">
        <v>3150</v>
      </c>
      <c r="D290" s="1701">
        <f t="shared" si="22"/>
        <v>21000</v>
      </c>
      <c r="E290" s="1767">
        <v>22500</v>
      </c>
      <c r="F290" s="1701">
        <f t="shared" si="23"/>
        <v>1512</v>
      </c>
      <c r="G290" s="1703">
        <f t="shared" si="24"/>
        <v>7.2041166380789029E-2</v>
      </c>
      <c r="J290" s="1704"/>
    </row>
    <row r="291" spans="2:10">
      <c r="B291" s="1700">
        <v>20994.799999999999</v>
      </c>
      <c r="C291" s="1696">
        <v>3150</v>
      </c>
      <c r="D291" s="1701">
        <f t="shared" si="22"/>
        <v>21000</v>
      </c>
      <c r="E291" s="1767">
        <v>22500</v>
      </c>
      <c r="F291" s="1701">
        <f t="shared" si="23"/>
        <v>1505.2000000000007</v>
      </c>
      <c r="G291" s="1703">
        <f t="shared" si="24"/>
        <v>7.1693943262141138E-2</v>
      </c>
      <c r="J291" s="1704"/>
    </row>
    <row r="292" spans="2:10">
      <c r="B292" s="1700">
        <v>20998.45</v>
      </c>
      <c r="C292" s="1696">
        <v>3150</v>
      </c>
      <c r="D292" s="1701">
        <f t="shared" si="22"/>
        <v>21000</v>
      </c>
      <c r="E292" s="1767">
        <v>22500</v>
      </c>
      <c r="F292" s="1701">
        <f t="shared" si="23"/>
        <v>1501.5499999999993</v>
      </c>
      <c r="G292" s="1703">
        <f t="shared" si="24"/>
        <v>7.1507658898632961E-2</v>
      </c>
      <c r="J292" s="1704"/>
    </row>
    <row r="293" spans="2:10">
      <c r="B293" s="1700">
        <v>21049.55</v>
      </c>
      <c r="C293" s="1696">
        <v>3150</v>
      </c>
      <c r="D293" s="1701">
        <f t="shared" si="22"/>
        <v>22000</v>
      </c>
      <c r="E293" s="1767">
        <v>22500</v>
      </c>
      <c r="F293" s="1701">
        <f t="shared" si="23"/>
        <v>1450.4500000000007</v>
      </c>
      <c r="G293" s="1703">
        <f t="shared" si="24"/>
        <v>6.8906461183255732E-2</v>
      </c>
      <c r="J293" s="1704"/>
    </row>
    <row r="294" spans="2:10">
      <c r="B294" s="1700">
        <v>21204</v>
      </c>
      <c r="C294" s="1696">
        <v>3288</v>
      </c>
      <c r="D294" s="1701">
        <f t="shared" si="22"/>
        <v>22000</v>
      </c>
      <c r="E294" s="1767">
        <v>22500</v>
      </c>
      <c r="F294" s="1701">
        <f t="shared" si="23"/>
        <v>1296</v>
      </c>
      <c r="G294" s="1703">
        <f t="shared" si="24"/>
        <v>6.1120543293718167E-2</v>
      </c>
      <c r="J294" s="1704"/>
    </row>
    <row r="295" spans="2:10">
      <c r="B295" s="1700">
        <v>21217</v>
      </c>
      <c r="C295" s="1696">
        <v>3150</v>
      </c>
      <c r="D295" s="1701">
        <f t="shared" si="22"/>
        <v>22000</v>
      </c>
      <c r="E295" s="1767">
        <v>22500</v>
      </c>
      <c r="F295" s="1701">
        <f t="shared" si="23"/>
        <v>1283</v>
      </c>
      <c r="G295" s="1703">
        <f t="shared" si="24"/>
        <v>6.0470377527454398E-2</v>
      </c>
      <c r="J295" s="1704"/>
    </row>
    <row r="296" spans="2:10">
      <c r="B296" s="1700">
        <v>21340</v>
      </c>
      <c r="C296" s="1696">
        <v>3150</v>
      </c>
      <c r="D296" s="1701">
        <f t="shared" si="22"/>
        <v>22000</v>
      </c>
      <c r="E296" s="1767">
        <v>22500</v>
      </c>
      <c r="F296" s="1701">
        <f t="shared" si="23"/>
        <v>1160</v>
      </c>
      <c r="G296" s="1703">
        <f t="shared" si="24"/>
        <v>5.4358013120899717E-2</v>
      </c>
      <c r="J296" s="1704"/>
    </row>
    <row r="297" spans="2:10">
      <c r="B297" s="1700">
        <v>21340</v>
      </c>
      <c r="C297" s="1696">
        <v>3150</v>
      </c>
      <c r="D297" s="1701">
        <f t="shared" si="22"/>
        <v>22000</v>
      </c>
      <c r="E297" s="1767">
        <v>22500</v>
      </c>
      <c r="F297" s="1701">
        <f t="shared" si="23"/>
        <v>1160</v>
      </c>
      <c r="G297" s="1703">
        <f t="shared" si="24"/>
        <v>5.4358013120899717E-2</v>
      </c>
      <c r="J297" s="1704"/>
    </row>
    <row r="298" spans="2:10">
      <c r="B298" s="1700">
        <v>21340</v>
      </c>
      <c r="C298" s="1696">
        <v>3150</v>
      </c>
      <c r="D298" s="1701">
        <f t="shared" si="22"/>
        <v>22000</v>
      </c>
      <c r="E298" s="1767">
        <v>22500</v>
      </c>
      <c r="F298" s="1701">
        <f t="shared" si="23"/>
        <v>1160</v>
      </c>
      <c r="G298" s="1703">
        <f t="shared" si="24"/>
        <v>5.4358013120899717E-2</v>
      </c>
      <c r="J298" s="1704"/>
    </row>
    <row r="299" spans="2:10">
      <c r="B299" s="1700">
        <v>21340</v>
      </c>
      <c r="C299" s="1696">
        <v>3150</v>
      </c>
      <c r="D299" s="1701">
        <f t="shared" si="22"/>
        <v>22000</v>
      </c>
      <c r="E299" s="1767">
        <v>22500</v>
      </c>
      <c r="F299" s="1701">
        <f t="shared" si="23"/>
        <v>1160</v>
      </c>
      <c r="G299" s="1703">
        <f t="shared" si="24"/>
        <v>5.4358013120899717E-2</v>
      </c>
      <c r="J299" s="1704"/>
    </row>
    <row r="300" spans="2:10">
      <c r="B300" s="1700">
        <v>21348.85</v>
      </c>
      <c r="C300" s="1696">
        <v>3150</v>
      </c>
      <c r="D300" s="1701">
        <f t="shared" si="22"/>
        <v>22000</v>
      </c>
      <c r="E300" s="1767">
        <v>22500</v>
      </c>
      <c r="F300" s="1701">
        <f t="shared" si="23"/>
        <v>1151.1500000000015</v>
      </c>
      <c r="G300" s="1703">
        <f t="shared" si="24"/>
        <v>5.3920937193338354E-2</v>
      </c>
      <c r="J300" s="1704"/>
    </row>
    <row r="301" spans="2:10">
      <c r="B301" s="1700">
        <v>21600</v>
      </c>
      <c r="C301" s="1696">
        <v>3288</v>
      </c>
      <c r="D301" s="1701">
        <f t="shared" si="22"/>
        <v>22000</v>
      </c>
      <c r="E301" s="1767">
        <v>22500</v>
      </c>
      <c r="F301" s="1701">
        <f t="shared" si="23"/>
        <v>900</v>
      </c>
      <c r="G301" s="1703">
        <f t="shared" si="24"/>
        <v>4.1666666666666664E-2</v>
      </c>
      <c r="J301" s="1704"/>
    </row>
    <row r="302" spans="2:10">
      <c r="B302" s="1700">
        <v>21612</v>
      </c>
      <c r="C302" s="1696">
        <v>3150</v>
      </c>
      <c r="D302" s="1701">
        <f t="shared" si="22"/>
        <v>22000</v>
      </c>
      <c r="E302" s="1767">
        <v>22500</v>
      </c>
      <c r="F302" s="1701">
        <f t="shared" si="23"/>
        <v>888</v>
      </c>
      <c r="G302" s="1703">
        <f t="shared" si="24"/>
        <v>4.1088284286507494E-2</v>
      </c>
      <c r="J302" s="1704"/>
    </row>
    <row r="303" spans="2:10">
      <c r="B303" s="1700">
        <v>21615.3</v>
      </c>
      <c r="C303" s="1696">
        <v>3150</v>
      </c>
      <c r="D303" s="1701">
        <f t="shared" si="22"/>
        <v>22000</v>
      </c>
      <c r="E303" s="1767">
        <v>22500</v>
      </c>
      <c r="F303" s="1701">
        <f t="shared" si="23"/>
        <v>884.70000000000073</v>
      </c>
      <c r="G303" s="1703">
        <f t="shared" si="24"/>
        <v>4.0929341716284331E-2</v>
      </c>
      <c r="J303" s="1704"/>
    </row>
    <row r="304" spans="2:10">
      <c r="B304" s="1700">
        <v>21754</v>
      </c>
      <c r="C304" s="1696">
        <v>3150</v>
      </c>
      <c r="D304" s="1701">
        <f t="shared" si="22"/>
        <v>22000</v>
      </c>
      <c r="E304" s="1767">
        <v>22500</v>
      </c>
      <c r="F304" s="1701">
        <f t="shared" si="23"/>
        <v>746</v>
      </c>
      <c r="G304" s="1703">
        <f t="shared" si="24"/>
        <v>3.4292543899972418E-2</v>
      </c>
      <c r="J304" s="1704"/>
    </row>
    <row r="305" spans="2:10">
      <c r="B305" s="1700">
        <v>21900</v>
      </c>
      <c r="C305" s="1696">
        <v>3150</v>
      </c>
      <c r="D305" s="1701">
        <f t="shared" si="22"/>
        <v>22000</v>
      </c>
      <c r="E305" s="1767">
        <v>22500</v>
      </c>
      <c r="F305" s="1701">
        <f t="shared" si="23"/>
        <v>600</v>
      </c>
      <c r="G305" s="1703">
        <f t="shared" si="24"/>
        <v>2.7397260273972601E-2</v>
      </c>
      <c r="J305" s="1704"/>
    </row>
    <row r="306" spans="2:10">
      <c r="B306" s="1700">
        <v>21900</v>
      </c>
      <c r="C306" s="1696">
        <v>3150</v>
      </c>
      <c r="D306" s="1701">
        <f t="shared" si="22"/>
        <v>22000</v>
      </c>
      <c r="E306" s="1767">
        <v>22500</v>
      </c>
      <c r="F306" s="1701">
        <f t="shared" si="23"/>
        <v>600</v>
      </c>
      <c r="G306" s="1703">
        <f t="shared" si="24"/>
        <v>2.7397260273972601E-2</v>
      </c>
      <c r="J306" s="1704"/>
    </row>
    <row r="307" spans="2:10">
      <c r="B307" s="1700">
        <v>21900</v>
      </c>
      <c r="C307" s="1696">
        <v>3150</v>
      </c>
      <c r="D307" s="1701">
        <f t="shared" si="22"/>
        <v>22000</v>
      </c>
      <c r="E307" s="1767">
        <v>22500</v>
      </c>
      <c r="F307" s="1701">
        <f t="shared" si="23"/>
        <v>600</v>
      </c>
      <c r="G307" s="1703">
        <f t="shared" si="24"/>
        <v>2.7397260273972601E-2</v>
      </c>
      <c r="J307" s="1704"/>
    </row>
    <row r="308" spans="2:10">
      <c r="B308" s="1700">
        <v>21900</v>
      </c>
      <c r="C308" s="1696">
        <v>3150</v>
      </c>
      <c r="D308" s="1701">
        <f t="shared" si="22"/>
        <v>22000</v>
      </c>
      <c r="E308" s="1767">
        <v>22500</v>
      </c>
      <c r="F308" s="1701">
        <f t="shared" si="23"/>
        <v>600</v>
      </c>
      <c r="G308" s="1703">
        <f t="shared" si="24"/>
        <v>2.7397260273972601E-2</v>
      </c>
      <c r="J308" s="1704"/>
    </row>
    <row r="309" spans="2:10">
      <c r="B309" s="1700">
        <v>21900</v>
      </c>
      <c r="C309" s="1696">
        <v>3150</v>
      </c>
      <c r="D309" s="1701">
        <f t="shared" si="22"/>
        <v>22000</v>
      </c>
      <c r="E309" s="1767">
        <v>22500</v>
      </c>
      <c r="F309" s="1701">
        <f t="shared" si="23"/>
        <v>600</v>
      </c>
      <c r="G309" s="1703">
        <f t="shared" si="24"/>
        <v>2.7397260273972601E-2</v>
      </c>
      <c r="J309" s="1704"/>
    </row>
    <row r="310" spans="2:10">
      <c r="B310" s="1700">
        <v>21900</v>
      </c>
      <c r="C310" s="1696">
        <v>3150</v>
      </c>
      <c r="D310" s="1701">
        <f t="shared" si="22"/>
        <v>22000</v>
      </c>
      <c r="E310" s="1767">
        <v>22500</v>
      </c>
      <c r="F310" s="1701">
        <f t="shared" si="23"/>
        <v>600</v>
      </c>
      <c r="G310" s="1703">
        <f t="shared" si="24"/>
        <v>2.7397260273972601E-2</v>
      </c>
      <c r="J310" s="1704"/>
    </row>
    <row r="311" spans="2:10">
      <c r="B311" s="1700">
        <v>21900</v>
      </c>
      <c r="C311" s="1696">
        <v>3150</v>
      </c>
      <c r="D311" s="1701">
        <f t="shared" si="22"/>
        <v>22000</v>
      </c>
      <c r="E311" s="1767">
        <v>22500</v>
      </c>
      <c r="F311" s="1701">
        <f t="shared" si="23"/>
        <v>600</v>
      </c>
      <c r="G311" s="1703">
        <f t="shared" si="24"/>
        <v>2.7397260273972601E-2</v>
      </c>
      <c r="J311" s="1704"/>
    </row>
    <row r="312" spans="2:10">
      <c r="B312" s="1700">
        <v>21900</v>
      </c>
      <c r="C312" s="1696">
        <v>3150</v>
      </c>
      <c r="D312" s="1701">
        <f t="shared" si="22"/>
        <v>22000</v>
      </c>
      <c r="E312" s="1767">
        <v>22500</v>
      </c>
      <c r="F312" s="1701">
        <f t="shared" si="23"/>
        <v>600</v>
      </c>
      <c r="G312" s="1703">
        <f t="shared" si="24"/>
        <v>2.7397260273972601E-2</v>
      </c>
      <c r="J312" s="1704"/>
    </row>
    <row r="313" spans="2:10">
      <c r="B313" s="1700">
        <v>21900</v>
      </c>
      <c r="C313" s="1696">
        <v>3150</v>
      </c>
      <c r="D313" s="1701">
        <f t="shared" si="22"/>
        <v>22000</v>
      </c>
      <c r="E313" s="1767">
        <v>22500</v>
      </c>
      <c r="F313" s="1701">
        <f t="shared" si="23"/>
        <v>600</v>
      </c>
      <c r="G313" s="1703">
        <f t="shared" si="24"/>
        <v>2.7397260273972601E-2</v>
      </c>
      <c r="J313" s="1704"/>
    </row>
    <row r="314" spans="2:10">
      <c r="B314" s="1700">
        <v>21900</v>
      </c>
      <c r="C314" s="1696">
        <v>3150</v>
      </c>
      <c r="D314" s="1701">
        <f t="shared" si="22"/>
        <v>22000</v>
      </c>
      <c r="E314" s="1767">
        <v>22500</v>
      </c>
      <c r="F314" s="1701">
        <f t="shared" si="23"/>
        <v>600</v>
      </c>
      <c r="G314" s="1703">
        <f t="shared" si="24"/>
        <v>2.7397260273972601E-2</v>
      </c>
      <c r="J314" s="1704"/>
    </row>
    <row r="315" spans="2:10">
      <c r="B315" s="1700">
        <v>21900</v>
      </c>
      <c r="C315" s="1696">
        <v>3150</v>
      </c>
      <c r="D315" s="1701">
        <f t="shared" si="22"/>
        <v>22000</v>
      </c>
      <c r="E315" s="1767">
        <v>22500</v>
      </c>
      <c r="F315" s="1701">
        <f t="shared" si="23"/>
        <v>600</v>
      </c>
      <c r="G315" s="1703">
        <f t="shared" si="24"/>
        <v>2.7397260273972601E-2</v>
      </c>
      <c r="J315" s="1704"/>
    </row>
    <row r="316" spans="2:10">
      <c r="B316" s="1700">
        <v>21900</v>
      </c>
      <c r="C316" s="1696">
        <v>3150</v>
      </c>
      <c r="D316" s="1701">
        <f t="shared" si="22"/>
        <v>22000</v>
      </c>
      <c r="E316" s="1767">
        <v>22500</v>
      </c>
      <c r="F316" s="1701">
        <f t="shared" si="23"/>
        <v>600</v>
      </c>
      <c r="G316" s="1703">
        <f t="shared" si="24"/>
        <v>2.7397260273972601E-2</v>
      </c>
      <c r="J316" s="1704"/>
    </row>
    <row r="317" spans="2:10">
      <c r="B317" s="1700">
        <v>21900</v>
      </c>
      <c r="C317" s="1696">
        <v>3150</v>
      </c>
      <c r="D317" s="1701">
        <f t="shared" si="22"/>
        <v>22000</v>
      </c>
      <c r="E317" s="1767">
        <v>22500</v>
      </c>
      <c r="F317" s="1701">
        <f t="shared" si="23"/>
        <v>600</v>
      </c>
      <c r="G317" s="1703">
        <f t="shared" si="24"/>
        <v>2.7397260273972601E-2</v>
      </c>
      <c r="J317" s="1704"/>
    </row>
    <row r="318" spans="2:10">
      <c r="B318" s="1700">
        <v>21900</v>
      </c>
      <c r="C318" s="1696">
        <v>3150</v>
      </c>
      <c r="D318" s="1701">
        <f t="shared" si="22"/>
        <v>22000</v>
      </c>
      <c r="E318" s="1767">
        <v>22500</v>
      </c>
      <c r="F318" s="1701">
        <f t="shared" si="23"/>
        <v>600</v>
      </c>
      <c r="G318" s="1703">
        <f t="shared" si="24"/>
        <v>2.7397260273972601E-2</v>
      </c>
      <c r="J318" s="1704"/>
    </row>
    <row r="319" spans="2:10">
      <c r="B319" s="1700">
        <v>22140.9</v>
      </c>
      <c r="C319" s="1696">
        <v>3150</v>
      </c>
      <c r="D319" s="1701">
        <f t="shared" si="22"/>
        <v>23000</v>
      </c>
      <c r="E319" s="1768">
        <f t="shared" ref="E319:E380" si="25">IF(B319&lt;=25000,25000)</f>
        <v>25000</v>
      </c>
      <c r="F319" s="1701">
        <f t="shared" si="23"/>
        <v>2859.0999999999985</v>
      </c>
      <c r="G319" s="1703">
        <f t="shared" si="24"/>
        <v>0.12913205876906533</v>
      </c>
      <c r="H319" s="1747">
        <v>62</v>
      </c>
      <c r="J319" s="1748">
        <f>AVERAGE(B319:B380)</f>
        <v>23764.778225806454</v>
      </c>
    </row>
    <row r="320" spans="2:10">
      <c r="B320" s="1700">
        <v>22200</v>
      </c>
      <c r="C320" s="1696">
        <v>3150</v>
      </c>
      <c r="D320" s="1701">
        <f t="shared" si="22"/>
        <v>23000</v>
      </c>
      <c r="E320" s="1768">
        <f t="shared" si="25"/>
        <v>25000</v>
      </c>
      <c r="F320" s="1701">
        <f t="shared" si="23"/>
        <v>2800</v>
      </c>
      <c r="G320" s="1703">
        <f t="shared" si="24"/>
        <v>0.12612612612612611</v>
      </c>
      <c r="J320" s="1704"/>
    </row>
    <row r="321" spans="2:10">
      <c r="B321" s="1700">
        <v>22328</v>
      </c>
      <c r="C321" s="1696">
        <v>3150</v>
      </c>
      <c r="D321" s="1701">
        <f t="shared" si="22"/>
        <v>23000</v>
      </c>
      <c r="E321" s="1768">
        <f t="shared" si="25"/>
        <v>25000</v>
      </c>
      <c r="F321" s="1701">
        <f t="shared" si="23"/>
        <v>2672</v>
      </c>
      <c r="G321" s="1703">
        <f t="shared" si="24"/>
        <v>0.11967036904335364</v>
      </c>
      <c r="J321" s="1704"/>
    </row>
    <row r="322" spans="2:10">
      <c r="B322" s="1700">
        <v>22348.95</v>
      </c>
      <c r="C322" s="1696">
        <v>3150</v>
      </c>
      <c r="D322" s="1701">
        <f t="shared" ref="D322:D385" si="26">ROUNDUP(B322,-3)</f>
        <v>23000</v>
      </c>
      <c r="E322" s="1768">
        <f t="shared" si="25"/>
        <v>25000</v>
      </c>
      <c r="F322" s="1701">
        <f t="shared" ref="F322:F385" si="27">E322-B322</f>
        <v>2651.0499999999993</v>
      </c>
      <c r="G322" s="1703">
        <f t="shared" ref="G322:G385" si="28">F322/B322</f>
        <v>0.11862078531653608</v>
      </c>
      <c r="J322" s="1704"/>
    </row>
    <row r="323" spans="2:10">
      <c r="B323" s="1700">
        <v>22424</v>
      </c>
      <c r="C323" s="1696">
        <v>3150</v>
      </c>
      <c r="D323" s="1701">
        <f t="shared" si="26"/>
        <v>23000</v>
      </c>
      <c r="E323" s="1768">
        <f t="shared" si="25"/>
        <v>25000</v>
      </c>
      <c r="F323" s="1701">
        <f t="shared" si="27"/>
        <v>2576</v>
      </c>
      <c r="G323" s="1703">
        <f t="shared" si="28"/>
        <v>0.11487691758829825</v>
      </c>
      <c r="J323" s="1704"/>
    </row>
    <row r="324" spans="2:10">
      <c r="B324" s="1700">
        <v>22500</v>
      </c>
      <c r="C324" s="1696">
        <v>3150</v>
      </c>
      <c r="D324" s="1701">
        <f t="shared" si="26"/>
        <v>23000</v>
      </c>
      <c r="E324" s="1768">
        <f t="shared" si="25"/>
        <v>25000</v>
      </c>
      <c r="F324" s="1701">
        <f t="shared" si="27"/>
        <v>2500</v>
      </c>
      <c r="G324" s="1703">
        <f t="shared" si="28"/>
        <v>0.1111111111111111</v>
      </c>
      <c r="J324" s="1704"/>
    </row>
    <row r="325" spans="2:10">
      <c r="B325" s="1700">
        <v>22500</v>
      </c>
      <c r="C325" s="1696">
        <v>3150</v>
      </c>
      <c r="D325" s="1701">
        <f t="shared" si="26"/>
        <v>23000</v>
      </c>
      <c r="E325" s="1768">
        <f t="shared" si="25"/>
        <v>25000</v>
      </c>
      <c r="F325" s="1701">
        <f t="shared" si="27"/>
        <v>2500</v>
      </c>
      <c r="G325" s="1703">
        <f t="shared" si="28"/>
        <v>0.1111111111111111</v>
      </c>
      <c r="J325" s="1704"/>
    </row>
    <row r="326" spans="2:10">
      <c r="B326" s="1700">
        <v>22532</v>
      </c>
      <c r="C326" s="1696">
        <v>3150</v>
      </c>
      <c r="D326" s="1701">
        <f t="shared" si="26"/>
        <v>23000</v>
      </c>
      <c r="E326" s="1768">
        <f t="shared" si="25"/>
        <v>25000</v>
      </c>
      <c r="F326" s="1701">
        <f t="shared" si="27"/>
        <v>2468</v>
      </c>
      <c r="G326" s="1703">
        <f t="shared" si="28"/>
        <v>0.10953310846795668</v>
      </c>
      <c r="J326" s="1704"/>
    </row>
    <row r="327" spans="2:10">
      <c r="B327" s="1700">
        <v>22630</v>
      </c>
      <c r="C327" s="1696">
        <v>3150</v>
      </c>
      <c r="D327" s="1701">
        <f t="shared" si="26"/>
        <v>23000</v>
      </c>
      <c r="E327" s="1768">
        <f t="shared" si="25"/>
        <v>25000</v>
      </c>
      <c r="F327" s="1701">
        <f t="shared" si="27"/>
        <v>2370</v>
      </c>
      <c r="G327" s="1703">
        <f t="shared" si="28"/>
        <v>0.10472823685373397</v>
      </c>
      <c r="J327" s="1704"/>
    </row>
    <row r="328" spans="2:10">
      <c r="B328" s="1700">
        <v>22740</v>
      </c>
      <c r="C328" s="1696">
        <v>3150</v>
      </c>
      <c r="D328" s="1701">
        <f t="shared" si="26"/>
        <v>23000</v>
      </c>
      <c r="E328" s="1768">
        <f t="shared" si="25"/>
        <v>25000</v>
      </c>
      <c r="F328" s="1701">
        <f t="shared" si="27"/>
        <v>2260</v>
      </c>
      <c r="G328" s="1703">
        <f t="shared" si="28"/>
        <v>9.9384344766930519E-2</v>
      </c>
      <c r="J328" s="1704"/>
    </row>
    <row r="329" spans="2:10">
      <c r="B329" s="1700">
        <v>22872</v>
      </c>
      <c r="C329" s="1696">
        <v>3288</v>
      </c>
      <c r="D329" s="1701">
        <f t="shared" si="26"/>
        <v>23000</v>
      </c>
      <c r="E329" s="1768">
        <f t="shared" si="25"/>
        <v>25000</v>
      </c>
      <c r="F329" s="1701">
        <f t="shared" si="27"/>
        <v>2128</v>
      </c>
      <c r="G329" s="1703">
        <f t="shared" si="28"/>
        <v>9.3039524309199026E-2</v>
      </c>
      <c r="J329" s="1704"/>
    </row>
    <row r="330" spans="2:10">
      <c r="B330" s="1700">
        <v>22995</v>
      </c>
      <c r="C330" s="1696">
        <v>3150</v>
      </c>
      <c r="D330" s="1701">
        <f t="shared" si="26"/>
        <v>23000</v>
      </c>
      <c r="E330" s="1768">
        <f t="shared" si="25"/>
        <v>25000</v>
      </c>
      <c r="F330" s="1701">
        <f t="shared" si="27"/>
        <v>2005</v>
      </c>
      <c r="G330" s="1703">
        <f t="shared" si="28"/>
        <v>8.7192868014785818E-2</v>
      </c>
      <c r="J330" s="1704"/>
    </row>
    <row r="331" spans="2:10">
      <c r="B331" s="1700">
        <v>23002.3</v>
      </c>
      <c r="C331" s="1696">
        <v>3150</v>
      </c>
      <c r="D331" s="1701">
        <f t="shared" si="26"/>
        <v>24000</v>
      </c>
      <c r="E331" s="1768">
        <f t="shared" si="25"/>
        <v>25000</v>
      </c>
      <c r="F331" s="1701">
        <f t="shared" si="27"/>
        <v>1997.7000000000007</v>
      </c>
      <c r="G331" s="1703">
        <f t="shared" si="28"/>
        <v>8.6847836955434923E-2</v>
      </c>
      <c r="J331" s="1704"/>
    </row>
    <row r="332" spans="2:10">
      <c r="B332" s="1700">
        <v>23002.3</v>
      </c>
      <c r="C332" s="1696">
        <v>3150</v>
      </c>
      <c r="D332" s="1701">
        <f t="shared" si="26"/>
        <v>24000</v>
      </c>
      <c r="E332" s="1768">
        <f t="shared" si="25"/>
        <v>25000</v>
      </c>
      <c r="F332" s="1701">
        <f t="shared" si="27"/>
        <v>1997.7000000000007</v>
      </c>
      <c r="G332" s="1703">
        <f t="shared" si="28"/>
        <v>8.6847836955434923E-2</v>
      </c>
      <c r="J332" s="1704"/>
    </row>
    <row r="333" spans="2:10">
      <c r="B333" s="1700">
        <v>23002.3</v>
      </c>
      <c r="C333" s="1696">
        <v>3150</v>
      </c>
      <c r="D333" s="1701">
        <f t="shared" si="26"/>
        <v>24000</v>
      </c>
      <c r="E333" s="1768">
        <f t="shared" si="25"/>
        <v>25000</v>
      </c>
      <c r="F333" s="1701">
        <f t="shared" si="27"/>
        <v>1997.7000000000007</v>
      </c>
      <c r="G333" s="1703">
        <f t="shared" si="28"/>
        <v>8.6847836955434923E-2</v>
      </c>
      <c r="J333" s="1704"/>
    </row>
    <row r="334" spans="2:10">
      <c r="B334" s="1700">
        <v>23025</v>
      </c>
      <c r="C334" s="1696">
        <v>3150</v>
      </c>
      <c r="D334" s="1701">
        <f t="shared" si="26"/>
        <v>24000</v>
      </c>
      <c r="E334" s="1768">
        <f t="shared" si="25"/>
        <v>25000</v>
      </c>
      <c r="F334" s="1701">
        <f t="shared" si="27"/>
        <v>1975</v>
      </c>
      <c r="G334" s="1703">
        <f t="shared" si="28"/>
        <v>8.577633007600434E-2</v>
      </c>
      <c r="J334" s="1704"/>
    </row>
    <row r="335" spans="2:10">
      <c r="B335" s="1700">
        <v>23025</v>
      </c>
      <c r="C335" s="1696">
        <v>3288</v>
      </c>
      <c r="D335" s="1701">
        <f t="shared" si="26"/>
        <v>24000</v>
      </c>
      <c r="E335" s="1768">
        <f t="shared" si="25"/>
        <v>25000</v>
      </c>
      <c r="F335" s="1701">
        <f t="shared" si="27"/>
        <v>1975</v>
      </c>
      <c r="G335" s="1703">
        <f t="shared" si="28"/>
        <v>8.577633007600434E-2</v>
      </c>
      <c r="J335" s="1704"/>
    </row>
    <row r="336" spans="2:10">
      <c r="B336" s="1700">
        <v>23052</v>
      </c>
      <c r="C336" s="1696">
        <v>3150</v>
      </c>
      <c r="D336" s="1701">
        <f t="shared" si="26"/>
        <v>24000</v>
      </c>
      <c r="E336" s="1768">
        <f t="shared" si="25"/>
        <v>25000</v>
      </c>
      <c r="F336" s="1701">
        <f t="shared" si="27"/>
        <v>1948</v>
      </c>
      <c r="G336" s="1703">
        <f t="shared" si="28"/>
        <v>8.4504598299496789E-2</v>
      </c>
      <c r="J336" s="1704"/>
    </row>
    <row r="337" spans="2:10">
      <c r="B337" s="1700">
        <v>23144</v>
      </c>
      <c r="C337" s="1696">
        <v>3150</v>
      </c>
      <c r="D337" s="1701">
        <f t="shared" si="26"/>
        <v>24000</v>
      </c>
      <c r="E337" s="1768">
        <f t="shared" si="25"/>
        <v>25000</v>
      </c>
      <c r="F337" s="1701">
        <f t="shared" si="27"/>
        <v>1856</v>
      </c>
      <c r="G337" s="1703">
        <f t="shared" si="28"/>
        <v>8.0193570687867269E-2</v>
      </c>
      <c r="J337" s="1704"/>
    </row>
    <row r="338" spans="2:10">
      <c r="B338" s="1700">
        <v>23160</v>
      </c>
      <c r="C338" s="1696">
        <v>3150</v>
      </c>
      <c r="D338" s="1701">
        <f t="shared" si="26"/>
        <v>24000</v>
      </c>
      <c r="E338" s="1768">
        <f t="shared" si="25"/>
        <v>25000</v>
      </c>
      <c r="F338" s="1701">
        <f t="shared" si="27"/>
        <v>1840</v>
      </c>
      <c r="G338" s="1703">
        <f t="shared" si="28"/>
        <v>7.9447322970639028E-2</v>
      </c>
      <c r="J338" s="1704"/>
    </row>
    <row r="339" spans="2:10">
      <c r="B339" s="1700">
        <v>23498.7</v>
      </c>
      <c r="C339" s="1696">
        <v>3150</v>
      </c>
      <c r="D339" s="1701">
        <f t="shared" si="26"/>
        <v>24000</v>
      </c>
      <c r="E339" s="1768">
        <f t="shared" si="25"/>
        <v>25000</v>
      </c>
      <c r="F339" s="1701">
        <f t="shared" si="27"/>
        <v>1501.2999999999993</v>
      </c>
      <c r="G339" s="1703">
        <f t="shared" si="28"/>
        <v>6.3888640648206041E-2</v>
      </c>
      <c r="J339" s="1704"/>
    </row>
    <row r="340" spans="2:10">
      <c r="B340" s="1700">
        <v>23500</v>
      </c>
      <c r="C340" s="1696">
        <v>3150</v>
      </c>
      <c r="D340" s="1701">
        <f t="shared" si="26"/>
        <v>24000</v>
      </c>
      <c r="E340" s="1768">
        <f t="shared" si="25"/>
        <v>25000</v>
      </c>
      <c r="F340" s="1701">
        <f t="shared" si="27"/>
        <v>1500</v>
      </c>
      <c r="G340" s="1703">
        <f t="shared" si="28"/>
        <v>6.3829787234042548E-2</v>
      </c>
      <c r="J340" s="1704"/>
    </row>
    <row r="341" spans="2:10">
      <c r="B341" s="1700">
        <v>23597</v>
      </c>
      <c r="C341" s="1696">
        <v>3150</v>
      </c>
      <c r="D341" s="1701">
        <f t="shared" si="26"/>
        <v>24000</v>
      </c>
      <c r="E341" s="1768">
        <f t="shared" si="25"/>
        <v>25000</v>
      </c>
      <c r="F341" s="1701">
        <f t="shared" si="27"/>
        <v>1403</v>
      </c>
      <c r="G341" s="1703">
        <f t="shared" si="28"/>
        <v>5.9456710598804932E-2</v>
      </c>
      <c r="J341" s="1704"/>
    </row>
    <row r="342" spans="2:10">
      <c r="B342" s="1700">
        <v>23650</v>
      </c>
      <c r="C342" s="1696">
        <v>3150</v>
      </c>
      <c r="D342" s="1701">
        <f t="shared" si="26"/>
        <v>24000</v>
      </c>
      <c r="E342" s="1768">
        <f t="shared" si="25"/>
        <v>25000</v>
      </c>
      <c r="F342" s="1701">
        <f t="shared" si="27"/>
        <v>1350</v>
      </c>
      <c r="G342" s="1703">
        <f t="shared" si="28"/>
        <v>5.7082452431289642E-2</v>
      </c>
      <c r="J342" s="1704"/>
    </row>
    <row r="343" spans="2:10">
      <c r="B343" s="1700">
        <v>23725</v>
      </c>
      <c r="C343" s="1696">
        <v>3150</v>
      </c>
      <c r="D343" s="1701">
        <f t="shared" si="26"/>
        <v>24000</v>
      </c>
      <c r="E343" s="1768">
        <f t="shared" si="25"/>
        <v>25000</v>
      </c>
      <c r="F343" s="1701">
        <f t="shared" si="27"/>
        <v>1275</v>
      </c>
      <c r="G343" s="1703">
        <f t="shared" si="28"/>
        <v>5.3740779768177031E-2</v>
      </c>
      <c r="J343" s="1704"/>
    </row>
    <row r="344" spans="2:10">
      <c r="B344" s="1700">
        <v>23725</v>
      </c>
      <c r="C344" s="1696">
        <v>3150</v>
      </c>
      <c r="D344" s="1701">
        <f t="shared" si="26"/>
        <v>24000</v>
      </c>
      <c r="E344" s="1768">
        <f t="shared" si="25"/>
        <v>25000</v>
      </c>
      <c r="F344" s="1701">
        <f t="shared" si="27"/>
        <v>1275</v>
      </c>
      <c r="G344" s="1703">
        <f t="shared" si="28"/>
        <v>5.3740779768177031E-2</v>
      </c>
      <c r="J344" s="1704"/>
    </row>
    <row r="345" spans="2:10">
      <c r="B345" s="1700">
        <v>23725</v>
      </c>
      <c r="C345" s="1696">
        <v>3150</v>
      </c>
      <c r="D345" s="1701">
        <f t="shared" si="26"/>
        <v>24000</v>
      </c>
      <c r="E345" s="1768">
        <f t="shared" si="25"/>
        <v>25000</v>
      </c>
      <c r="F345" s="1701">
        <f t="shared" si="27"/>
        <v>1275</v>
      </c>
      <c r="G345" s="1703">
        <f t="shared" si="28"/>
        <v>5.3740779768177031E-2</v>
      </c>
      <c r="J345" s="1704"/>
    </row>
    <row r="346" spans="2:10">
      <c r="B346" s="1700">
        <v>23725</v>
      </c>
      <c r="C346" s="1696">
        <v>3150</v>
      </c>
      <c r="D346" s="1701">
        <f t="shared" si="26"/>
        <v>24000</v>
      </c>
      <c r="E346" s="1768">
        <f t="shared" si="25"/>
        <v>25000</v>
      </c>
      <c r="F346" s="1701">
        <f t="shared" si="27"/>
        <v>1275</v>
      </c>
      <c r="G346" s="1703">
        <f t="shared" si="28"/>
        <v>5.3740779768177031E-2</v>
      </c>
      <c r="J346" s="1704"/>
    </row>
    <row r="347" spans="2:10">
      <c r="B347" s="1700">
        <v>23725</v>
      </c>
      <c r="C347" s="1696">
        <v>3150</v>
      </c>
      <c r="D347" s="1701">
        <f t="shared" si="26"/>
        <v>24000</v>
      </c>
      <c r="E347" s="1768">
        <f t="shared" si="25"/>
        <v>25000</v>
      </c>
      <c r="F347" s="1701">
        <f t="shared" si="27"/>
        <v>1275</v>
      </c>
      <c r="G347" s="1703">
        <f t="shared" si="28"/>
        <v>5.3740779768177031E-2</v>
      </c>
      <c r="J347" s="1704"/>
    </row>
    <row r="348" spans="2:10">
      <c r="B348" s="1700">
        <v>23745</v>
      </c>
      <c r="C348" s="1696">
        <v>3150</v>
      </c>
      <c r="D348" s="1701">
        <f t="shared" si="26"/>
        <v>24000</v>
      </c>
      <c r="E348" s="1768">
        <f t="shared" si="25"/>
        <v>25000</v>
      </c>
      <c r="F348" s="1701">
        <f t="shared" si="27"/>
        <v>1255</v>
      </c>
      <c r="G348" s="1703">
        <f t="shared" si="28"/>
        <v>5.2853232259423039E-2</v>
      </c>
      <c r="J348" s="1704"/>
    </row>
    <row r="349" spans="2:10">
      <c r="B349" s="1700">
        <v>23761.5</v>
      </c>
      <c r="C349" s="1696">
        <v>3150</v>
      </c>
      <c r="D349" s="1701">
        <f t="shared" si="26"/>
        <v>24000</v>
      </c>
      <c r="E349" s="1768">
        <f t="shared" si="25"/>
        <v>25000</v>
      </c>
      <c r="F349" s="1701">
        <f t="shared" si="27"/>
        <v>1238.5</v>
      </c>
      <c r="G349" s="1703">
        <f t="shared" si="28"/>
        <v>5.2122130336889505E-2</v>
      </c>
      <c r="J349" s="1704"/>
    </row>
    <row r="350" spans="2:10">
      <c r="B350" s="1700">
        <v>23776</v>
      </c>
      <c r="C350" s="1696">
        <v>3150</v>
      </c>
      <c r="D350" s="1701">
        <f t="shared" si="26"/>
        <v>24000</v>
      </c>
      <c r="E350" s="1768">
        <f t="shared" si="25"/>
        <v>25000</v>
      </c>
      <c r="F350" s="1701">
        <f t="shared" si="27"/>
        <v>1224</v>
      </c>
      <c r="G350" s="1703">
        <f t="shared" si="28"/>
        <v>5.148048452220727E-2</v>
      </c>
      <c r="J350" s="1704"/>
    </row>
    <row r="351" spans="2:10">
      <c r="B351" s="1700">
        <v>23877</v>
      </c>
      <c r="C351" s="1696">
        <v>3288</v>
      </c>
      <c r="D351" s="1701">
        <f t="shared" si="26"/>
        <v>24000</v>
      </c>
      <c r="E351" s="1768">
        <f t="shared" si="25"/>
        <v>25000</v>
      </c>
      <c r="F351" s="1701">
        <f t="shared" si="27"/>
        <v>1123</v>
      </c>
      <c r="G351" s="1703">
        <f t="shared" si="28"/>
        <v>4.7032709301838588E-2</v>
      </c>
      <c r="J351" s="1704"/>
    </row>
    <row r="352" spans="2:10">
      <c r="B352" s="1700">
        <v>23952</v>
      </c>
      <c r="C352" s="1696">
        <v>3150</v>
      </c>
      <c r="D352" s="1701">
        <f t="shared" si="26"/>
        <v>24000</v>
      </c>
      <c r="E352" s="1768">
        <f t="shared" si="25"/>
        <v>25000</v>
      </c>
      <c r="F352" s="1701">
        <f t="shared" si="27"/>
        <v>1048</v>
      </c>
      <c r="G352" s="1703">
        <f t="shared" si="28"/>
        <v>4.3754175016700064E-2</v>
      </c>
      <c r="J352" s="1704"/>
    </row>
    <row r="353" spans="2:10">
      <c r="B353" s="1700">
        <v>23998.75</v>
      </c>
      <c r="C353" s="1696">
        <v>3150</v>
      </c>
      <c r="D353" s="1701">
        <f t="shared" si="26"/>
        <v>24000</v>
      </c>
      <c r="E353" s="1768">
        <f t="shared" si="25"/>
        <v>25000</v>
      </c>
      <c r="F353" s="1701">
        <f t="shared" si="27"/>
        <v>1001.25</v>
      </c>
      <c r="G353" s="1703">
        <f t="shared" si="28"/>
        <v>4.1720922964737749E-2</v>
      </c>
      <c r="J353" s="1704"/>
    </row>
    <row r="354" spans="2:10">
      <c r="B354" s="1700">
        <v>24000</v>
      </c>
      <c r="C354" s="1696">
        <v>3150</v>
      </c>
      <c r="D354" s="1701">
        <f t="shared" si="26"/>
        <v>24000</v>
      </c>
      <c r="E354" s="1768">
        <f t="shared" si="25"/>
        <v>25000</v>
      </c>
      <c r="F354" s="1701">
        <f t="shared" si="27"/>
        <v>1000</v>
      </c>
      <c r="G354" s="1703">
        <f t="shared" si="28"/>
        <v>4.1666666666666664E-2</v>
      </c>
      <c r="J354" s="1704"/>
    </row>
    <row r="355" spans="2:10">
      <c r="B355" s="1700">
        <v>24000</v>
      </c>
      <c r="C355" s="1696">
        <v>3288</v>
      </c>
      <c r="D355" s="1701">
        <f t="shared" si="26"/>
        <v>24000</v>
      </c>
      <c r="E355" s="1768">
        <f t="shared" si="25"/>
        <v>25000</v>
      </c>
      <c r="F355" s="1701">
        <f t="shared" si="27"/>
        <v>1000</v>
      </c>
      <c r="G355" s="1703">
        <f t="shared" si="28"/>
        <v>4.1666666666666664E-2</v>
      </c>
      <c r="J355" s="1704"/>
    </row>
    <row r="356" spans="2:10">
      <c r="B356" s="1700">
        <v>24090</v>
      </c>
      <c r="C356" s="1696">
        <v>3150</v>
      </c>
      <c r="D356" s="1701">
        <f t="shared" si="26"/>
        <v>25000</v>
      </c>
      <c r="E356" s="1768">
        <f t="shared" si="25"/>
        <v>25000</v>
      </c>
      <c r="F356" s="1701">
        <f t="shared" si="27"/>
        <v>910</v>
      </c>
      <c r="G356" s="1703">
        <f t="shared" si="28"/>
        <v>3.7775010377750107E-2</v>
      </c>
      <c r="J356" s="1704"/>
    </row>
    <row r="357" spans="2:10">
      <c r="B357" s="1700">
        <v>24099</v>
      </c>
      <c r="C357" s="1696">
        <v>3150</v>
      </c>
      <c r="D357" s="1701">
        <f t="shared" si="26"/>
        <v>25000</v>
      </c>
      <c r="E357" s="1768">
        <f t="shared" si="25"/>
        <v>25000</v>
      </c>
      <c r="F357" s="1701">
        <f t="shared" si="27"/>
        <v>901</v>
      </c>
      <c r="G357" s="1703">
        <f t="shared" si="28"/>
        <v>3.7387443462384332E-2</v>
      </c>
      <c r="J357" s="1704"/>
    </row>
    <row r="358" spans="2:10">
      <c r="B358" s="1700">
        <v>24408</v>
      </c>
      <c r="C358" s="1696">
        <v>3288</v>
      </c>
      <c r="D358" s="1701">
        <f t="shared" si="26"/>
        <v>25000</v>
      </c>
      <c r="E358" s="1768">
        <f t="shared" si="25"/>
        <v>25000</v>
      </c>
      <c r="F358" s="1701">
        <f t="shared" si="27"/>
        <v>592</v>
      </c>
      <c r="G358" s="1703">
        <f t="shared" si="28"/>
        <v>2.4254342838413635E-2</v>
      </c>
      <c r="J358" s="1704"/>
    </row>
    <row r="359" spans="2:10">
      <c r="B359" s="1700">
        <v>24450</v>
      </c>
      <c r="C359" s="1696">
        <v>3288</v>
      </c>
      <c r="D359" s="1701">
        <f t="shared" si="26"/>
        <v>25000</v>
      </c>
      <c r="E359" s="1768">
        <f t="shared" si="25"/>
        <v>25000</v>
      </c>
      <c r="F359" s="1701">
        <f t="shared" si="27"/>
        <v>550</v>
      </c>
      <c r="G359" s="1703">
        <f t="shared" si="28"/>
        <v>2.2494887525562373E-2</v>
      </c>
      <c r="J359" s="1704"/>
    </row>
    <row r="360" spans="2:10">
      <c r="B360" s="1700">
        <v>24500</v>
      </c>
      <c r="C360" s="1696">
        <v>3150</v>
      </c>
      <c r="D360" s="1701">
        <f t="shared" si="26"/>
        <v>25000</v>
      </c>
      <c r="E360" s="1768">
        <f t="shared" si="25"/>
        <v>25000</v>
      </c>
      <c r="F360" s="1701">
        <f t="shared" si="27"/>
        <v>500</v>
      </c>
      <c r="G360" s="1703">
        <f t="shared" si="28"/>
        <v>2.0408163265306121E-2</v>
      </c>
      <c r="J360" s="1704"/>
    </row>
    <row r="361" spans="2:10">
      <c r="B361" s="1700">
        <v>24500</v>
      </c>
      <c r="C361" s="1696">
        <v>3150</v>
      </c>
      <c r="D361" s="1701">
        <f t="shared" si="26"/>
        <v>25000</v>
      </c>
      <c r="E361" s="1768">
        <f t="shared" si="25"/>
        <v>25000</v>
      </c>
      <c r="F361" s="1701">
        <f t="shared" si="27"/>
        <v>500</v>
      </c>
      <c r="G361" s="1703">
        <f t="shared" si="28"/>
        <v>2.0408163265306121E-2</v>
      </c>
      <c r="J361" s="1704"/>
    </row>
    <row r="362" spans="2:10">
      <c r="B362" s="1700">
        <v>24500</v>
      </c>
      <c r="C362" s="1696">
        <v>3150</v>
      </c>
      <c r="D362" s="1701">
        <f t="shared" si="26"/>
        <v>25000</v>
      </c>
      <c r="E362" s="1768">
        <f t="shared" si="25"/>
        <v>25000</v>
      </c>
      <c r="F362" s="1701">
        <f t="shared" si="27"/>
        <v>500</v>
      </c>
      <c r="G362" s="1703">
        <f t="shared" si="28"/>
        <v>2.0408163265306121E-2</v>
      </c>
      <c r="J362" s="1704"/>
    </row>
    <row r="363" spans="2:10">
      <c r="B363" s="1700">
        <v>24500</v>
      </c>
      <c r="C363" s="1696">
        <v>3150</v>
      </c>
      <c r="D363" s="1701">
        <f t="shared" si="26"/>
        <v>25000</v>
      </c>
      <c r="E363" s="1768">
        <f t="shared" si="25"/>
        <v>25000</v>
      </c>
      <c r="F363" s="1701">
        <f t="shared" si="27"/>
        <v>500</v>
      </c>
      <c r="G363" s="1703">
        <f t="shared" si="28"/>
        <v>2.0408163265306121E-2</v>
      </c>
      <c r="J363" s="1704"/>
    </row>
    <row r="364" spans="2:10">
      <c r="B364" s="1700">
        <v>24500</v>
      </c>
      <c r="C364" s="1696">
        <v>3150</v>
      </c>
      <c r="D364" s="1701">
        <f t="shared" si="26"/>
        <v>25000</v>
      </c>
      <c r="E364" s="1768">
        <f t="shared" si="25"/>
        <v>25000</v>
      </c>
      <c r="F364" s="1701">
        <f t="shared" si="27"/>
        <v>500</v>
      </c>
      <c r="G364" s="1703">
        <f t="shared" si="28"/>
        <v>2.0408163265306121E-2</v>
      </c>
      <c r="J364" s="1704"/>
    </row>
    <row r="365" spans="2:10">
      <c r="B365" s="1700">
        <v>24500</v>
      </c>
      <c r="C365" s="1696">
        <v>3150</v>
      </c>
      <c r="D365" s="1701">
        <f t="shared" si="26"/>
        <v>25000</v>
      </c>
      <c r="E365" s="1768">
        <f t="shared" si="25"/>
        <v>25000</v>
      </c>
      <c r="F365" s="1701">
        <f t="shared" si="27"/>
        <v>500</v>
      </c>
      <c r="G365" s="1703">
        <f t="shared" si="28"/>
        <v>2.0408163265306121E-2</v>
      </c>
      <c r="J365" s="1704"/>
    </row>
    <row r="366" spans="2:10">
      <c r="B366" s="1700">
        <v>24500</v>
      </c>
      <c r="C366" s="1696">
        <v>3150</v>
      </c>
      <c r="D366" s="1701">
        <f t="shared" si="26"/>
        <v>25000</v>
      </c>
      <c r="E366" s="1768">
        <f t="shared" si="25"/>
        <v>25000</v>
      </c>
      <c r="F366" s="1701">
        <f t="shared" si="27"/>
        <v>500</v>
      </c>
      <c r="G366" s="1703">
        <f t="shared" si="28"/>
        <v>2.0408163265306121E-2</v>
      </c>
      <c r="J366" s="1704"/>
    </row>
    <row r="367" spans="2:10">
      <c r="B367" s="1700">
        <v>24500</v>
      </c>
      <c r="C367" s="1696">
        <v>3150</v>
      </c>
      <c r="D367" s="1701">
        <f t="shared" si="26"/>
        <v>25000</v>
      </c>
      <c r="E367" s="1768">
        <f t="shared" si="25"/>
        <v>25000</v>
      </c>
      <c r="F367" s="1701">
        <f t="shared" si="27"/>
        <v>500</v>
      </c>
      <c r="G367" s="1703">
        <f t="shared" si="28"/>
        <v>2.0408163265306121E-2</v>
      </c>
      <c r="J367" s="1704"/>
    </row>
    <row r="368" spans="2:10">
      <c r="B368" s="1700">
        <v>24500</v>
      </c>
      <c r="C368" s="1696">
        <v>3150</v>
      </c>
      <c r="D368" s="1701">
        <f t="shared" si="26"/>
        <v>25000</v>
      </c>
      <c r="E368" s="1768">
        <f t="shared" si="25"/>
        <v>25000</v>
      </c>
      <c r="F368" s="1701">
        <f t="shared" si="27"/>
        <v>500</v>
      </c>
      <c r="G368" s="1703">
        <f t="shared" si="28"/>
        <v>2.0408163265306121E-2</v>
      </c>
      <c r="J368" s="1704"/>
    </row>
    <row r="369" spans="2:10">
      <c r="B369" s="1700">
        <v>24500</v>
      </c>
      <c r="C369" s="1696">
        <v>3150</v>
      </c>
      <c r="D369" s="1701">
        <f t="shared" si="26"/>
        <v>25000</v>
      </c>
      <c r="E369" s="1768">
        <f t="shared" si="25"/>
        <v>25000</v>
      </c>
      <c r="F369" s="1701">
        <f t="shared" si="27"/>
        <v>500</v>
      </c>
      <c r="G369" s="1703">
        <f t="shared" si="28"/>
        <v>2.0408163265306121E-2</v>
      </c>
      <c r="J369" s="1704"/>
    </row>
    <row r="370" spans="2:10">
      <c r="B370" s="1700">
        <v>24500</v>
      </c>
      <c r="C370" s="1696">
        <v>3150</v>
      </c>
      <c r="D370" s="1701">
        <f t="shared" si="26"/>
        <v>25000</v>
      </c>
      <c r="E370" s="1768">
        <f t="shared" si="25"/>
        <v>25000</v>
      </c>
      <c r="F370" s="1701">
        <f t="shared" si="27"/>
        <v>500</v>
      </c>
      <c r="G370" s="1703">
        <f t="shared" si="28"/>
        <v>2.0408163265306121E-2</v>
      </c>
      <c r="J370" s="1704"/>
    </row>
    <row r="371" spans="2:10">
      <c r="B371" s="1700">
        <v>24500</v>
      </c>
      <c r="C371" s="1696">
        <v>3150</v>
      </c>
      <c r="D371" s="1701">
        <f t="shared" si="26"/>
        <v>25000</v>
      </c>
      <c r="E371" s="1768">
        <f t="shared" si="25"/>
        <v>25000</v>
      </c>
      <c r="F371" s="1701">
        <f t="shared" si="27"/>
        <v>500</v>
      </c>
      <c r="G371" s="1703">
        <f t="shared" si="28"/>
        <v>2.0408163265306121E-2</v>
      </c>
      <c r="J371" s="1704"/>
    </row>
    <row r="372" spans="2:10">
      <c r="B372" s="1700">
        <v>24500</v>
      </c>
      <c r="C372" s="1696">
        <v>3150</v>
      </c>
      <c r="D372" s="1701">
        <f t="shared" si="26"/>
        <v>25000</v>
      </c>
      <c r="E372" s="1768">
        <f t="shared" si="25"/>
        <v>25000</v>
      </c>
      <c r="F372" s="1701">
        <f t="shared" si="27"/>
        <v>500</v>
      </c>
      <c r="G372" s="1703">
        <f t="shared" si="28"/>
        <v>2.0408163265306121E-2</v>
      </c>
      <c r="J372" s="1704"/>
    </row>
    <row r="373" spans="2:10">
      <c r="B373" s="1700">
        <v>24700</v>
      </c>
      <c r="C373" s="1696">
        <v>3150</v>
      </c>
      <c r="D373" s="1701">
        <f t="shared" si="26"/>
        <v>25000</v>
      </c>
      <c r="E373" s="1768">
        <f t="shared" si="25"/>
        <v>25000</v>
      </c>
      <c r="F373" s="1701">
        <f t="shared" si="27"/>
        <v>300</v>
      </c>
      <c r="G373" s="1703">
        <f t="shared" si="28"/>
        <v>1.2145748987854251E-2</v>
      </c>
      <c r="J373" s="1704"/>
    </row>
    <row r="374" spans="2:10">
      <c r="B374" s="1700">
        <v>24768</v>
      </c>
      <c r="C374" s="1696">
        <v>3150</v>
      </c>
      <c r="D374" s="1701">
        <f t="shared" si="26"/>
        <v>25000</v>
      </c>
      <c r="E374" s="1768">
        <f t="shared" si="25"/>
        <v>25000</v>
      </c>
      <c r="F374" s="1701">
        <f t="shared" si="27"/>
        <v>232</v>
      </c>
      <c r="G374" s="1703">
        <f t="shared" si="28"/>
        <v>9.3669250645994837E-3</v>
      </c>
      <c r="J374" s="1704"/>
    </row>
    <row r="375" spans="2:10">
      <c r="B375" s="1700">
        <v>24804</v>
      </c>
      <c r="C375" s="1696">
        <v>3288</v>
      </c>
      <c r="D375" s="1701">
        <f t="shared" si="26"/>
        <v>25000</v>
      </c>
      <c r="E375" s="1768">
        <f t="shared" si="25"/>
        <v>25000</v>
      </c>
      <c r="F375" s="1701">
        <f t="shared" si="27"/>
        <v>196</v>
      </c>
      <c r="G375" s="1703">
        <f t="shared" si="28"/>
        <v>7.9019512981777125E-3</v>
      </c>
      <c r="J375" s="1704"/>
    </row>
    <row r="376" spans="2:10">
      <c r="B376" s="1700">
        <v>24996</v>
      </c>
      <c r="C376" s="1696">
        <v>3150</v>
      </c>
      <c r="D376" s="1701">
        <f t="shared" si="26"/>
        <v>25000</v>
      </c>
      <c r="E376" s="1768">
        <f t="shared" si="25"/>
        <v>25000</v>
      </c>
      <c r="F376" s="1701">
        <f t="shared" si="27"/>
        <v>4</v>
      </c>
      <c r="G376" s="1703">
        <f t="shared" si="28"/>
        <v>1.6002560409665546E-4</v>
      </c>
      <c r="J376" s="1704"/>
    </row>
    <row r="377" spans="2:10">
      <c r="B377" s="1700">
        <v>24998.85</v>
      </c>
      <c r="C377" s="1696">
        <v>3150</v>
      </c>
      <c r="D377" s="1701">
        <f t="shared" si="26"/>
        <v>25000</v>
      </c>
      <c r="E377" s="1768">
        <f t="shared" si="25"/>
        <v>25000</v>
      </c>
      <c r="F377" s="1701">
        <f t="shared" si="27"/>
        <v>1.1500000000014552</v>
      </c>
      <c r="G377" s="1703">
        <f t="shared" si="28"/>
        <v>4.6002116097398694E-5</v>
      </c>
      <c r="J377" s="1704"/>
    </row>
    <row r="378" spans="2:10">
      <c r="B378" s="1700">
        <v>24998.85</v>
      </c>
      <c r="C378" s="1696">
        <v>3150</v>
      </c>
      <c r="D378" s="1701">
        <f t="shared" si="26"/>
        <v>25000</v>
      </c>
      <c r="E378" s="1768">
        <f t="shared" si="25"/>
        <v>25000</v>
      </c>
      <c r="F378" s="1701">
        <f t="shared" si="27"/>
        <v>1.1500000000014552</v>
      </c>
      <c r="G378" s="1703">
        <f t="shared" si="28"/>
        <v>4.6002116097398694E-5</v>
      </c>
      <c r="J378" s="1704"/>
    </row>
    <row r="379" spans="2:10">
      <c r="B379" s="1700">
        <v>24998.85</v>
      </c>
      <c r="C379" s="1696">
        <v>3150</v>
      </c>
      <c r="D379" s="1701">
        <f t="shared" si="26"/>
        <v>25000</v>
      </c>
      <c r="E379" s="1768">
        <f t="shared" si="25"/>
        <v>25000</v>
      </c>
      <c r="F379" s="1701">
        <f t="shared" si="27"/>
        <v>1.1500000000014552</v>
      </c>
      <c r="G379" s="1703">
        <f t="shared" si="28"/>
        <v>4.6002116097398694E-5</v>
      </c>
      <c r="J379" s="1704"/>
    </row>
    <row r="380" spans="2:10">
      <c r="B380" s="1700">
        <v>25000</v>
      </c>
      <c r="C380" s="1696">
        <v>3150</v>
      </c>
      <c r="D380" s="1701">
        <f t="shared" si="26"/>
        <v>25000</v>
      </c>
      <c r="E380" s="1769">
        <f t="shared" si="25"/>
        <v>25000</v>
      </c>
      <c r="F380" s="1701">
        <f t="shared" si="27"/>
        <v>0</v>
      </c>
      <c r="G380" s="1703">
        <f t="shared" si="28"/>
        <v>0</v>
      </c>
      <c r="J380" s="1704"/>
    </row>
    <row r="381" spans="2:10">
      <c r="B381" s="1700">
        <v>25002.5</v>
      </c>
      <c r="C381" s="1696">
        <v>3150</v>
      </c>
      <c r="D381" s="1701">
        <f t="shared" si="26"/>
        <v>26000</v>
      </c>
      <c r="E381" s="1770">
        <v>27500</v>
      </c>
      <c r="F381" s="1701">
        <f t="shared" si="27"/>
        <v>2497.5</v>
      </c>
      <c r="G381" s="1703">
        <f t="shared" si="28"/>
        <v>9.9890010998900117E-2</v>
      </c>
      <c r="H381" s="1747">
        <v>32</v>
      </c>
      <c r="J381" s="1748">
        <f>AVERAGE(B381:B412)</f>
        <v>26366.993750000005</v>
      </c>
    </row>
    <row r="382" spans="2:10">
      <c r="B382" s="1700">
        <v>25200</v>
      </c>
      <c r="C382" s="1696">
        <v>3150</v>
      </c>
      <c r="D382" s="1701">
        <f t="shared" si="26"/>
        <v>26000</v>
      </c>
      <c r="E382" s="1770">
        <v>27500</v>
      </c>
      <c r="F382" s="1701">
        <f t="shared" si="27"/>
        <v>2300</v>
      </c>
      <c r="G382" s="1703">
        <f t="shared" si="28"/>
        <v>9.1269841269841265E-2</v>
      </c>
      <c r="J382" s="1704"/>
    </row>
    <row r="383" spans="2:10">
      <c r="B383" s="1700">
        <v>25285</v>
      </c>
      <c r="C383" s="1696">
        <v>3150</v>
      </c>
      <c r="D383" s="1701">
        <f t="shared" si="26"/>
        <v>26000</v>
      </c>
      <c r="E383" s="1770">
        <v>27500</v>
      </c>
      <c r="F383" s="1701">
        <f t="shared" si="27"/>
        <v>2215</v>
      </c>
      <c r="G383" s="1703">
        <f t="shared" si="28"/>
        <v>8.7601344670753409E-2</v>
      </c>
      <c r="J383" s="1704"/>
    </row>
    <row r="384" spans="2:10">
      <c r="B384" s="1700">
        <v>25444.400000000001</v>
      </c>
      <c r="C384" s="1696">
        <v>3150</v>
      </c>
      <c r="D384" s="1701">
        <f t="shared" si="26"/>
        <v>26000</v>
      </c>
      <c r="E384" s="1770">
        <v>27500</v>
      </c>
      <c r="F384" s="1701">
        <f t="shared" si="27"/>
        <v>2055.5999999999985</v>
      </c>
      <c r="G384" s="1703">
        <f t="shared" si="28"/>
        <v>8.0787914040024458E-2</v>
      </c>
      <c r="J384" s="1704"/>
    </row>
    <row r="385" spans="2:10">
      <c r="B385" s="1700">
        <v>25550</v>
      </c>
      <c r="C385" s="1696">
        <v>3150</v>
      </c>
      <c r="D385" s="1701">
        <f t="shared" si="26"/>
        <v>26000</v>
      </c>
      <c r="E385" s="1770">
        <v>27500</v>
      </c>
      <c r="F385" s="1701">
        <f t="shared" si="27"/>
        <v>1950</v>
      </c>
      <c r="G385" s="1703">
        <f t="shared" si="28"/>
        <v>7.6320939334637961E-2</v>
      </c>
      <c r="J385" s="1704"/>
    </row>
    <row r="386" spans="2:10">
      <c r="B386" s="1700">
        <v>25550</v>
      </c>
      <c r="C386" s="1696">
        <v>3150</v>
      </c>
      <c r="D386" s="1701">
        <f t="shared" ref="D386:D449" si="29">ROUNDUP(B386,-3)</f>
        <v>26000</v>
      </c>
      <c r="E386" s="1770">
        <v>27500</v>
      </c>
      <c r="F386" s="1701">
        <f t="shared" ref="F386:F449" si="30">E386-B386</f>
        <v>1950</v>
      </c>
      <c r="G386" s="1703">
        <f t="shared" ref="G386:G449" si="31">F386/B386</f>
        <v>7.6320939334637961E-2</v>
      </c>
      <c r="J386" s="1704"/>
    </row>
    <row r="387" spans="2:10">
      <c r="B387" s="1700">
        <v>25550</v>
      </c>
      <c r="C387" s="1696">
        <v>3150</v>
      </c>
      <c r="D387" s="1701">
        <f t="shared" si="29"/>
        <v>26000</v>
      </c>
      <c r="E387" s="1770">
        <v>27500</v>
      </c>
      <c r="F387" s="1701">
        <f t="shared" si="30"/>
        <v>1950</v>
      </c>
      <c r="G387" s="1703">
        <f t="shared" si="31"/>
        <v>7.6320939334637961E-2</v>
      </c>
      <c r="J387" s="1704"/>
    </row>
    <row r="388" spans="2:10">
      <c r="B388" s="1700">
        <v>25550</v>
      </c>
      <c r="C388" s="1696">
        <v>3150</v>
      </c>
      <c r="D388" s="1701">
        <f t="shared" si="29"/>
        <v>26000</v>
      </c>
      <c r="E388" s="1770">
        <v>27500</v>
      </c>
      <c r="F388" s="1701">
        <f t="shared" si="30"/>
        <v>1950</v>
      </c>
      <c r="G388" s="1703">
        <f t="shared" si="31"/>
        <v>7.6320939334637961E-2</v>
      </c>
      <c r="J388" s="1704"/>
    </row>
    <row r="389" spans="2:10">
      <c r="B389" s="1700">
        <v>25550</v>
      </c>
      <c r="C389" s="1696">
        <v>3150</v>
      </c>
      <c r="D389" s="1701">
        <f t="shared" si="29"/>
        <v>26000</v>
      </c>
      <c r="E389" s="1770">
        <v>27500</v>
      </c>
      <c r="F389" s="1701">
        <f t="shared" si="30"/>
        <v>1950</v>
      </c>
      <c r="G389" s="1703">
        <f t="shared" si="31"/>
        <v>7.6320939334637961E-2</v>
      </c>
      <c r="J389" s="1704"/>
    </row>
    <row r="390" spans="2:10">
      <c r="B390" s="1700">
        <v>25550</v>
      </c>
      <c r="C390" s="1696">
        <v>3150</v>
      </c>
      <c r="D390" s="1701">
        <f t="shared" si="29"/>
        <v>26000</v>
      </c>
      <c r="E390" s="1770">
        <v>27500</v>
      </c>
      <c r="F390" s="1701">
        <f t="shared" si="30"/>
        <v>1950</v>
      </c>
      <c r="G390" s="1703">
        <f t="shared" si="31"/>
        <v>7.6320939334637961E-2</v>
      </c>
      <c r="J390" s="1704"/>
    </row>
    <row r="391" spans="2:10">
      <c r="B391" s="1700">
        <v>25550</v>
      </c>
      <c r="C391" s="1696">
        <v>3150</v>
      </c>
      <c r="D391" s="1701">
        <f t="shared" si="29"/>
        <v>26000</v>
      </c>
      <c r="E391" s="1770">
        <v>27500</v>
      </c>
      <c r="F391" s="1701">
        <f t="shared" si="30"/>
        <v>1950</v>
      </c>
      <c r="G391" s="1703">
        <f t="shared" si="31"/>
        <v>7.6320939334637961E-2</v>
      </c>
      <c r="J391" s="1704"/>
    </row>
    <row r="392" spans="2:10">
      <c r="B392" s="1700">
        <v>25998.95</v>
      </c>
      <c r="C392" s="1696">
        <v>3150</v>
      </c>
      <c r="D392" s="1701">
        <f t="shared" si="29"/>
        <v>26000</v>
      </c>
      <c r="E392" s="1770">
        <v>27500</v>
      </c>
      <c r="F392" s="1701">
        <f t="shared" si="30"/>
        <v>1501.0499999999993</v>
      </c>
      <c r="G392" s="1703">
        <f t="shared" si="31"/>
        <v>5.7735023914427287E-2</v>
      </c>
      <c r="J392" s="1704"/>
    </row>
    <row r="393" spans="2:10">
      <c r="B393" s="1700">
        <v>26000</v>
      </c>
      <c r="C393" s="1696">
        <v>3150</v>
      </c>
      <c r="D393" s="1701">
        <f t="shared" si="29"/>
        <v>26000</v>
      </c>
      <c r="E393" s="1770">
        <v>27500</v>
      </c>
      <c r="F393" s="1701">
        <f t="shared" si="30"/>
        <v>1500</v>
      </c>
      <c r="G393" s="1703">
        <f t="shared" si="31"/>
        <v>5.7692307692307696E-2</v>
      </c>
      <c r="J393" s="1704"/>
    </row>
    <row r="394" spans="2:10">
      <c r="B394" s="1700">
        <v>26058</v>
      </c>
      <c r="C394" s="1696">
        <v>3150</v>
      </c>
      <c r="D394" s="1701">
        <f t="shared" si="29"/>
        <v>27000</v>
      </c>
      <c r="E394" s="1770">
        <v>27500</v>
      </c>
      <c r="F394" s="1701">
        <f t="shared" si="30"/>
        <v>1442</v>
      </c>
      <c r="G394" s="1703">
        <f t="shared" si="31"/>
        <v>5.5338091948729753E-2</v>
      </c>
      <c r="J394" s="1704"/>
    </row>
    <row r="395" spans="2:10">
      <c r="B395" s="1700">
        <v>26196</v>
      </c>
      <c r="C395" s="1696">
        <v>3150</v>
      </c>
      <c r="D395" s="1701">
        <f t="shared" si="29"/>
        <v>27000</v>
      </c>
      <c r="E395" s="1770">
        <v>27500</v>
      </c>
      <c r="F395" s="1701">
        <f t="shared" si="30"/>
        <v>1304</v>
      </c>
      <c r="G395" s="1703">
        <f t="shared" si="31"/>
        <v>4.9778592151473511E-2</v>
      </c>
      <c r="J395" s="1704"/>
    </row>
    <row r="396" spans="2:10">
      <c r="B396" s="1700">
        <v>26217.95</v>
      </c>
      <c r="C396" s="1696">
        <v>3288</v>
      </c>
      <c r="D396" s="1701">
        <f t="shared" si="29"/>
        <v>27000</v>
      </c>
      <c r="E396" s="1770">
        <v>27500</v>
      </c>
      <c r="F396" s="1701">
        <f t="shared" si="30"/>
        <v>1282.0499999999993</v>
      </c>
      <c r="G396" s="1703">
        <f t="shared" si="31"/>
        <v>4.8899704210283383E-2</v>
      </c>
      <c r="J396" s="1704"/>
    </row>
    <row r="397" spans="2:10">
      <c r="B397" s="1700">
        <v>26280</v>
      </c>
      <c r="C397" s="1696">
        <v>3150</v>
      </c>
      <c r="D397" s="1701">
        <f t="shared" si="29"/>
        <v>27000</v>
      </c>
      <c r="E397" s="1770">
        <v>27500</v>
      </c>
      <c r="F397" s="1701">
        <f t="shared" si="30"/>
        <v>1220</v>
      </c>
      <c r="G397" s="1703">
        <f t="shared" si="31"/>
        <v>4.6423135464231352E-2</v>
      </c>
      <c r="J397" s="1704"/>
    </row>
    <row r="398" spans="2:10">
      <c r="B398" s="1700">
        <v>26520.9</v>
      </c>
      <c r="C398" s="1696">
        <v>3150</v>
      </c>
      <c r="D398" s="1701">
        <f t="shared" si="29"/>
        <v>27000</v>
      </c>
      <c r="E398" s="1770">
        <v>27500</v>
      </c>
      <c r="F398" s="1701">
        <f t="shared" si="30"/>
        <v>979.09999999999854</v>
      </c>
      <c r="G398" s="1703">
        <f t="shared" si="31"/>
        <v>3.6918053308899718E-2</v>
      </c>
      <c r="J398" s="1704"/>
    </row>
    <row r="399" spans="2:10">
      <c r="B399" s="1700">
        <v>26903</v>
      </c>
      <c r="C399" s="1696">
        <v>3150</v>
      </c>
      <c r="D399" s="1701">
        <f t="shared" si="29"/>
        <v>27000</v>
      </c>
      <c r="E399" s="1770">
        <v>27500</v>
      </c>
      <c r="F399" s="1701">
        <f t="shared" si="30"/>
        <v>597</v>
      </c>
      <c r="G399" s="1703">
        <f t="shared" si="31"/>
        <v>2.2190833736014572E-2</v>
      </c>
      <c r="J399" s="1704"/>
    </row>
    <row r="400" spans="2:10">
      <c r="B400" s="1700">
        <v>26914</v>
      </c>
      <c r="C400" s="1696">
        <v>3150</v>
      </c>
      <c r="D400" s="1701">
        <f t="shared" si="29"/>
        <v>27000</v>
      </c>
      <c r="E400" s="1770">
        <v>27500</v>
      </c>
      <c r="F400" s="1701">
        <f t="shared" si="30"/>
        <v>586</v>
      </c>
      <c r="G400" s="1703">
        <f t="shared" si="31"/>
        <v>2.1773054915657279E-2</v>
      </c>
      <c r="J400" s="1704"/>
    </row>
    <row r="401" spans="2:10">
      <c r="B401" s="1700">
        <v>26999.05</v>
      </c>
      <c r="C401" s="1696">
        <v>3150</v>
      </c>
      <c r="D401" s="1701">
        <f t="shared" si="29"/>
        <v>27000</v>
      </c>
      <c r="E401" s="1770">
        <v>27500</v>
      </c>
      <c r="F401" s="1701">
        <f t="shared" si="30"/>
        <v>500.95000000000073</v>
      </c>
      <c r="G401" s="1703">
        <f t="shared" si="31"/>
        <v>1.855435654217466E-2</v>
      </c>
      <c r="J401" s="1704"/>
    </row>
    <row r="402" spans="2:10">
      <c r="B402" s="1700">
        <v>26999.05</v>
      </c>
      <c r="C402" s="1696">
        <v>3150</v>
      </c>
      <c r="D402" s="1701">
        <f t="shared" si="29"/>
        <v>27000</v>
      </c>
      <c r="E402" s="1770">
        <v>27500</v>
      </c>
      <c r="F402" s="1701">
        <f t="shared" si="30"/>
        <v>500.95000000000073</v>
      </c>
      <c r="G402" s="1703">
        <f t="shared" si="31"/>
        <v>1.855435654217466E-2</v>
      </c>
      <c r="J402" s="1704"/>
    </row>
    <row r="403" spans="2:10">
      <c r="B403" s="1700">
        <v>27000</v>
      </c>
      <c r="C403" s="1696">
        <v>3150</v>
      </c>
      <c r="D403" s="1701">
        <f t="shared" si="29"/>
        <v>27000</v>
      </c>
      <c r="E403" s="1770">
        <v>27500</v>
      </c>
      <c r="F403" s="1701">
        <f t="shared" si="30"/>
        <v>500</v>
      </c>
      <c r="G403" s="1703">
        <f t="shared" si="31"/>
        <v>1.8518518518518517E-2</v>
      </c>
      <c r="J403" s="1704"/>
    </row>
    <row r="404" spans="2:10">
      <c r="B404" s="1700">
        <v>27000</v>
      </c>
      <c r="C404" s="1696">
        <v>3150</v>
      </c>
      <c r="D404" s="1701">
        <f t="shared" si="29"/>
        <v>27000</v>
      </c>
      <c r="E404" s="1770">
        <v>27500</v>
      </c>
      <c r="F404" s="1701">
        <f t="shared" si="30"/>
        <v>500</v>
      </c>
      <c r="G404" s="1703">
        <f t="shared" si="31"/>
        <v>1.8518518518518517E-2</v>
      </c>
      <c r="J404" s="1704"/>
    </row>
    <row r="405" spans="2:10">
      <c r="B405" s="1700">
        <v>27060</v>
      </c>
      <c r="C405" s="1696">
        <v>3150</v>
      </c>
      <c r="D405" s="1701">
        <f t="shared" si="29"/>
        <v>28000</v>
      </c>
      <c r="E405" s="1770">
        <v>27500</v>
      </c>
      <c r="F405" s="1701">
        <f t="shared" si="30"/>
        <v>440</v>
      </c>
      <c r="G405" s="1703">
        <f t="shared" si="31"/>
        <v>1.6260162601626018E-2</v>
      </c>
      <c r="J405" s="1704"/>
    </row>
    <row r="406" spans="2:10">
      <c r="B406" s="1700">
        <v>27375</v>
      </c>
      <c r="C406" s="1696">
        <v>3150</v>
      </c>
      <c r="D406" s="1701">
        <f t="shared" si="29"/>
        <v>28000</v>
      </c>
      <c r="E406" s="1770">
        <v>27500</v>
      </c>
      <c r="F406" s="1701">
        <f t="shared" si="30"/>
        <v>125</v>
      </c>
      <c r="G406" s="1703">
        <f t="shared" si="31"/>
        <v>4.5662100456621002E-3</v>
      </c>
      <c r="J406" s="1704"/>
    </row>
    <row r="407" spans="2:10">
      <c r="B407" s="1700">
        <v>27375</v>
      </c>
      <c r="C407" s="1696">
        <v>3150</v>
      </c>
      <c r="D407" s="1701">
        <f t="shared" si="29"/>
        <v>28000</v>
      </c>
      <c r="E407" s="1770">
        <v>27500</v>
      </c>
      <c r="F407" s="1701">
        <f t="shared" si="30"/>
        <v>125</v>
      </c>
      <c r="G407" s="1703">
        <f t="shared" si="31"/>
        <v>4.5662100456621002E-3</v>
      </c>
      <c r="J407" s="1704"/>
    </row>
    <row r="408" spans="2:10">
      <c r="B408" s="1700">
        <v>27375</v>
      </c>
      <c r="C408" s="1696">
        <v>3150</v>
      </c>
      <c r="D408" s="1701">
        <f t="shared" si="29"/>
        <v>28000</v>
      </c>
      <c r="E408" s="1770">
        <v>27500</v>
      </c>
      <c r="F408" s="1701">
        <f t="shared" si="30"/>
        <v>125</v>
      </c>
      <c r="G408" s="1703">
        <f t="shared" si="31"/>
        <v>4.5662100456621002E-3</v>
      </c>
      <c r="J408" s="1704"/>
    </row>
    <row r="409" spans="2:10">
      <c r="B409" s="1700">
        <v>27375</v>
      </c>
      <c r="C409" s="1696">
        <v>3150</v>
      </c>
      <c r="D409" s="1701">
        <f t="shared" si="29"/>
        <v>28000</v>
      </c>
      <c r="E409" s="1770">
        <v>27500</v>
      </c>
      <c r="F409" s="1701">
        <f t="shared" si="30"/>
        <v>125</v>
      </c>
      <c r="G409" s="1703">
        <f t="shared" si="31"/>
        <v>4.5662100456621002E-3</v>
      </c>
      <c r="J409" s="1704"/>
    </row>
    <row r="410" spans="2:10">
      <c r="B410" s="1700">
        <v>27375</v>
      </c>
      <c r="C410" s="1696">
        <v>3150</v>
      </c>
      <c r="D410" s="1701">
        <f t="shared" si="29"/>
        <v>28000</v>
      </c>
      <c r="E410" s="1770">
        <v>27500</v>
      </c>
      <c r="F410" s="1701">
        <f t="shared" si="30"/>
        <v>125</v>
      </c>
      <c r="G410" s="1703">
        <f t="shared" si="31"/>
        <v>4.5662100456621002E-3</v>
      </c>
      <c r="J410" s="1704"/>
    </row>
    <row r="411" spans="2:10">
      <c r="B411" s="1700">
        <v>27440</v>
      </c>
      <c r="C411" s="1696">
        <v>3150</v>
      </c>
      <c r="D411" s="1701">
        <f t="shared" si="29"/>
        <v>28000</v>
      </c>
      <c r="E411" s="1770">
        <v>27500</v>
      </c>
      <c r="F411" s="1701">
        <f t="shared" si="30"/>
        <v>60</v>
      </c>
      <c r="G411" s="1703">
        <f t="shared" si="31"/>
        <v>2.1865889212827989E-3</v>
      </c>
      <c r="J411" s="1704"/>
    </row>
    <row r="412" spans="2:10">
      <c r="B412" s="1700">
        <v>27500</v>
      </c>
      <c r="C412" s="1696">
        <v>3150</v>
      </c>
      <c r="D412" s="1701">
        <f t="shared" si="29"/>
        <v>28000</v>
      </c>
      <c r="E412" s="1770">
        <v>27500</v>
      </c>
      <c r="F412" s="1701">
        <f t="shared" si="30"/>
        <v>0</v>
      </c>
      <c r="G412" s="1703">
        <f t="shared" si="31"/>
        <v>0</v>
      </c>
      <c r="J412" s="1704"/>
    </row>
    <row r="413" spans="2:10">
      <c r="B413" s="1700">
        <v>27600</v>
      </c>
      <c r="C413" s="1696">
        <v>3150</v>
      </c>
      <c r="D413" s="1701">
        <f t="shared" si="29"/>
        <v>28000</v>
      </c>
      <c r="E413" s="1771">
        <v>30000</v>
      </c>
      <c r="F413" s="1701">
        <f t="shared" si="30"/>
        <v>2400</v>
      </c>
      <c r="G413" s="1703">
        <f t="shared" si="31"/>
        <v>8.6956521739130432E-2</v>
      </c>
      <c r="H413" s="1747">
        <v>33</v>
      </c>
      <c r="J413" s="1748">
        <f>AVERAGE(B413:B445)</f>
        <v>29156.175757575755</v>
      </c>
    </row>
    <row r="414" spans="2:10">
      <c r="B414" s="1700">
        <v>27724</v>
      </c>
      <c r="C414" s="1696">
        <v>3288</v>
      </c>
      <c r="D414" s="1701">
        <f t="shared" si="29"/>
        <v>28000</v>
      </c>
      <c r="E414" s="1771">
        <v>30000</v>
      </c>
      <c r="F414" s="1701">
        <f t="shared" si="30"/>
        <v>2276</v>
      </c>
      <c r="G414" s="1703">
        <f t="shared" si="31"/>
        <v>8.2094935795700472E-2</v>
      </c>
      <c r="J414" s="1704"/>
    </row>
    <row r="415" spans="2:10">
      <c r="B415" s="1700">
        <v>27798</v>
      </c>
      <c r="C415" s="1696">
        <v>3150</v>
      </c>
      <c r="D415" s="1701">
        <f t="shared" si="29"/>
        <v>28000</v>
      </c>
      <c r="E415" s="1771">
        <v>30000</v>
      </c>
      <c r="F415" s="1701">
        <f t="shared" si="30"/>
        <v>2202</v>
      </c>
      <c r="G415" s="1703">
        <f t="shared" si="31"/>
        <v>7.9214331966328516E-2</v>
      </c>
      <c r="J415" s="1704"/>
    </row>
    <row r="416" spans="2:10">
      <c r="B416" s="1700">
        <v>28048</v>
      </c>
      <c r="C416" s="1696">
        <v>3150</v>
      </c>
      <c r="D416" s="1701">
        <f t="shared" si="29"/>
        <v>29000</v>
      </c>
      <c r="E416" s="1771">
        <v>30000</v>
      </c>
      <c r="F416" s="1701">
        <f t="shared" si="30"/>
        <v>1952</v>
      </c>
      <c r="G416" s="1703">
        <f t="shared" si="31"/>
        <v>6.9594980034227039E-2</v>
      </c>
      <c r="J416" s="1704"/>
    </row>
    <row r="417" spans="2:10">
      <c r="B417" s="1700">
        <v>28416</v>
      </c>
      <c r="C417" s="1696">
        <v>3150</v>
      </c>
      <c r="D417" s="1701">
        <f t="shared" si="29"/>
        <v>29000</v>
      </c>
      <c r="E417" s="1771">
        <v>30000</v>
      </c>
      <c r="F417" s="1701">
        <f t="shared" si="30"/>
        <v>1584</v>
      </c>
      <c r="G417" s="1703">
        <f t="shared" si="31"/>
        <v>5.5743243243243243E-2</v>
      </c>
      <c r="J417" s="1704"/>
    </row>
    <row r="418" spans="2:10">
      <c r="B418" s="1700">
        <v>28450</v>
      </c>
      <c r="C418" s="1696">
        <v>3150</v>
      </c>
      <c r="D418" s="1701">
        <f t="shared" si="29"/>
        <v>29000</v>
      </c>
      <c r="E418" s="1771">
        <v>30000</v>
      </c>
      <c r="F418" s="1701">
        <f t="shared" si="30"/>
        <v>1550</v>
      </c>
      <c r="G418" s="1703">
        <f t="shared" si="31"/>
        <v>5.4481546572934976E-2</v>
      </c>
      <c r="J418" s="1704"/>
    </row>
    <row r="419" spans="2:10">
      <c r="B419" s="1700">
        <v>28499.200000000001</v>
      </c>
      <c r="C419" s="1696">
        <v>3150</v>
      </c>
      <c r="D419" s="1701">
        <f t="shared" si="29"/>
        <v>29000</v>
      </c>
      <c r="E419" s="1771">
        <v>30000</v>
      </c>
      <c r="F419" s="1701">
        <f t="shared" si="30"/>
        <v>1500.7999999999993</v>
      </c>
      <c r="G419" s="1703">
        <f t="shared" si="31"/>
        <v>5.2661127329889937E-2</v>
      </c>
      <c r="J419" s="1704"/>
    </row>
    <row r="420" spans="2:10">
      <c r="B420" s="1700">
        <v>28500</v>
      </c>
      <c r="C420" s="1696">
        <v>3288</v>
      </c>
      <c r="D420" s="1701">
        <f t="shared" si="29"/>
        <v>29000</v>
      </c>
      <c r="E420" s="1771">
        <v>30000</v>
      </c>
      <c r="F420" s="1701">
        <f t="shared" si="30"/>
        <v>1500</v>
      </c>
      <c r="G420" s="1703">
        <f t="shared" si="31"/>
        <v>5.2631578947368418E-2</v>
      </c>
      <c r="J420" s="1704"/>
    </row>
    <row r="421" spans="2:10">
      <c r="B421" s="1700">
        <v>28600</v>
      </c>
      <c r="C421" s="1696">
        <v>3150</v>
      </c>
      <c r="D421" s="1701">
        <f t="shared" si="29"/>
        <v>29000</v>
      </c>
      <c r="E421" s="1771">
        <v>30000</v>
      </c>
      <c r="F421" s="1701">
        <f t="shared" si="30"/>
        <v>1400</v>
      </c>
      <c r="G421" s="1703">
        <f t="shared" si="31"/>
        <v>4.8951048951048952E-2</v>
      </c>
      <c r="J421" s="1704"/>
    </row>
    <row r="422" spans="2:10">
      <c r="B422" s="1700">
        <v>28600</v>
      </c>
      <c r="C422" s="1696">
        <v>3150</v>
      </c>
      <c r="D422" s="1701">
        <f t="shared" si="29"/>
        <v>29000</v>
      </c>
      <c r="E422" s="1771">
        <v>30000</v>
      </c>
      <c r="F422" s="1701">
        <f t="shared" si="30"/>
        <v>1400</v>
      </c>
      <c r="G422" s="1703">
        <f t="shared" si="31"/>
        <v>4.8951048951048952E-2</v>
      </c>
      <c r="J422" s="1704"/>
    </row>
    <row r="423" spans="2:10">
      <c r="B423" s="1700">
        <v>28736</v>
      </c>
      <c r="C423" s="1696">
        <v>3150</v>
      </c>
      <c r="D423" s="1701">
        <f t="shared" si="29"/>
        <v>29000</v>
      </c>
      <c r="E423" s="1771">
        <v>30000</v>
      </c>
      <c r="F423" s="1701">
        <f t="shared" si="30"/>
        <v>1264</v>
      </c>
      <c r="G423" s="1703">
        <f t="shared" si="31"/>
        <v>4.3986636971046773E-2</v>
      </c>
      <c r="J423" s="1704"/>
    </row>
    <row r="424" spans="2:10">
      <c r="B424" s="1700">
        <v>28750</v>
      </c>
      <c r="C424" s="1696">
        <v>3150</v>
      </c>
      <c r="D424" s="1701">
        <f t="shared" si="29"/>
        <v>29000</v>
      </c>
      <c r="E424" s="1771">
        <v>30000</v>
      </c>
      <c r="F424" s="1701">
        <f t="shared" si="30"/>
        <v>1250</v>
      </c>
      <c r="G424" s="1703">
        <f t="shared" si="31"/>
        <v>4.3478260869565216E-2</v>
      </c>
      <c r="J424" s="1704"/>
    </row>
    <row r="425" spans="2:10">
      <c r="B425" s="1700">
        <v>28880</v>
      </c>
      <c r="C425" s="1696">
        <v>3150</v>
      </c>
      <c r="D425" s="1701">
        <f t="shared" si="29"/>
        <v>29000</v>
      </c>
      <c r="E425" s="1771">
        <v>30000</v>
      </c>
      <c r="F425" s="1701">
        <f t="shared" si="30"/>
        <v>1120</v>
      </c>
      <c r="G425" s="1703">
        <f t="shared" si="31"/>
        <v>3.8781163434903045E-2</v>
      </c>
      <c r="J425" s="1704"/>
    </row>
    <row r="426" spans="2:10">
      <c r="B426" s="1700">
        <v>28880</v>
      </c>
      <c r="C426" s="1696">
        <v>3288</v>
      </c>
      <c r="D426" s="1701">
        <f t="shared" si="29"/>
        <v>29000</v>
      </c>
      <c r="E426" s="1771">
        <v>30000</v>
      </c>
      <c r="F426" s="1701">
        <f t="shared" si="30"/>
        <v>1120</v>
      </c>
      <c r="G426" s="1703">
        <f t="shared" si="31"/>
        <v>3.8781163434903045E-2</v>
      </c>
      <c r="J426" s="1704"/>
    </row>
    <row r="427" spans="2:10">
      <c r="B427" s="1700">
        <v>28999.25</v>
      </c>
      <c r="C427" s="1696">
        <v>3150</v>
      </c>
      <c r="D427" s="1701">
        <f t="shared" si="29"/>
        <v>29000</v>
      </c>
      <c r="E427" s="1771">
        <v>30000</v>
      </c>
      <c r="F427" s="1701">
        <f t="shared" si="30"/>
        <v>1000.75</v>
      </c>
      <c r="G427" s="1703">
        <f t="shared" si="31"/>
        <v>3.4509513177064924E-2</v>
      </c>
      <c r="J427" s="1704"/>
    </row>
    <row r="428" spans="2:10">
      <c r="B428" s="1700">
        <v>29100</v>
      </c>
      <c r="C428" s="1696">
        <v>3288</v>
      </c>
      <c r="D428" s="1701">
        <f t="shared" si="29"/>
        <v>30000</v>
      </c>
      <c r="E428" s="1771">
        <v>30000</v>
      </c>
      <c r="F428" s="1701">
        <f t="shared" si="30"/>
        <v>900</v>
      </c>
      <c r="G428" s="1703">
        <f t="shared" si="31"/>
        <v>3.0927835051546393E-2</v>
      </c>
      <c r="J428" s="1704"/>
    </row>
    <row r="429" spans="2:10">
      <c r="B429" s="1700">
        <v>29100</v>
      </c>
      <c r="C429" s="1696">
        <v>3288</v>
      </c>
      <c r="D429" s="1701">
        <f t="shared" si="29"/>
        <v>30000</v>
      </c>
      <c r="E429" s="1771">
        <v>30000</v>
      </c>
      <c r="F429" s="1701">
        <f t="shared" si="30"/>
        <v>900</v>
      </c>
      <c r="G429" s="1703">
        <f t="shared" si="31"/>
        <v>3.0927835051546393E-2</v>
      </c>
      <c r="J429" s="1704"/>
    </row>
    <row r="430" spans="2:10">
      <c r="B430" s="1700">
        <v>29250</v>
      </c>
      <c r="C430" s="1696">
        <v>3150</v>
      </c>
      <c r="D430" s="1701">
        <f t="shared" si="29"/>
        <v>30000</v>
      </c>
      <c r="E430" s="1771">
        <v>30000</v>
      </c>
      <c r="F430" s="1701">
        <f t="shared" si="30"/>
        <v>750</v>
      </c>
      <c r="G430" s="1703">
        <f t="shared" si="31"/>
        <v>2.564102564102564E-2</v>
      </c>
      <c r="J430" s="1704"/>
    </row>
    <row r="431" spans="2:10">
      <c r="B431" s="1700">
        <v>29448</v>
      </c>
      <c r="C431" s="1696">
        <v>3288</v>
      </c>
      <c r="D431" s="1701">
        <f t="shared" si="29"/>
        <v>30000</v>
      </c>
      <c r="E431" s="1771">
        <v>30000</v>
      </c>
      <c r="F431" s="1701">
        <f t="shared" si="30"/>
        <v>552</v>
      </c>
      <c r="G431" s="1703">
        <f t="shared" si="31"/>
        <v>1.8744906275468622E-2</v>
      </c>
      <c r="J431" s="1704"/>
    </row>
    <row r="432" spans="2:10">
      <c r="B432" s="1700">
        <v>29500</v>
      </c>
      <c r="C432" s="1696">
        <v>3150</v>
      </c>
      <c r="D432" s="1701">
        <f t="shared" si="29"/>
        <v>30000</v>
      </c>
      <c r="E432" s="1771">
        <v>30000</v>
      </c>
      <c r="F432" s="1701">
        <f t="shared" si="30"/>
        <v>500</v>
      </c>
      <c r="G432" s="1703">
        <f t="shared" si="31"/>
        <v>1.6949152542372881E-2</v>
      </c>
      <c r="J432" s="1704"/>
    </row>
    <row r="433" spans="2:10">
      <c r="B433" s="1700">
        <v>29700</v>
      </c>
      <c r="C433" s="1696">
        <v>3150</v>
      </c>
      <c r="D433" s="1701">
        <f t="shared" si="29"/>
        <v>30000</v>
      </c>
      <c r="E433" s="1771">
        <v>30000</v>
      </c>
      <c r="F433" s="1701">
        <f t="shared" si="30"/>
        <v>300</v>
      </c>
      <c r="G433" s="1703">
        <f t="shared" si="31"/>
        <v>1.0101010101010102E-2</v>
      </c>
      <c r="J433" s="1704"/>
    </row>
    <row r="434" spans="2:10">
      <c r="B434" s="1700">
        <v>29700</v>
      </c>
      <c r="C434" s="1696">
        <v>3150</v>
      </c>
      <c r="D434" s="1701">
        <f t="shared" si="29"/>
        <v>30000</v>
      </c>
      <c r="E434" s="1771">
        <v>30000</v>
      </c>
      <c r="F434" s="1701">
        <f t="shared" si="30"/>
        <v>300</v>
      </c>
      <c r="G434" s="1703">
        <f t="shared" si="31"/>
        <v>1.0101010101010102E-2</v>
      </c>
      <c r="J434" s="1704"/>
    </row>
    <row r="435" spans="2:10">
      <c r="B435" s="1700">
        <v>29880</v>
      </c>
      <c r="C435" s="1696">
        <v>3150</v>
      </c>
      <c r="D435" s="1701">
        <f t="shared" si="29"/>
        <v>30000</v>
      </c>
      <c r="E435" s="1771">
        <v>30000</v>
      </c>
      <c r="F435" s="1701">
        <f t="shared" si="30"/>
        <v>120</v>
      </c>
      <c r="G435" s="1703">
        <f t="shared" si="31"/>
        <v>4.0160642570281121E-3</v>
      </c>
      <c r="J435" s="1704"/>
    </row>
    <row r="436" spans="2:10">
      <c r="B436" s="1700">
        <v>29995.35</v>
      </c>
      <c r="C436" s="1696">
        <v>3150</v>
      </c>
      <c r="D436" s="1701">
        <f t="shared" si="29"/>
        <v>30000</v>
      </c>
      <c r="E436" s="1771">
        <v>30000</v>
      </c>
      <c r="F436" s="1701">
        <f t="shared" si="30"/>
        <v>4.6500000000014552</v>
      </c>
      <c r="G436" s="1703">
        <f t="shared" si="31"/>
        <v>1.550240287245008E-4</v>
      </c>
      <c r="J436" s="1704"/>
    </row>
    <row r="437" spans="2:10">
      <c r="B437" s="1700">
        <v>30000</v>
      </c>
      <c r="C437" s="1696">
        <v>3150</v>
      </c>
      <c r="D437" s="1701">
        <f t="shared" si="29"/>
        <v>30000</v>
      </c>
      <c r="E437" s="1771">
        <v>30000</v>
      </c>
      <c r="F437" s="1701">
        <f t="shared" si="30"/>
        <v>0</v>
      </c>
      <c r="G437" s="1703">
        <f t="shared" si="31"/>
        <v>0</v>
      </c>
      <c r="J437" s="1704"/>
    </row>
    <row r="438" spans="2:10">
      <c r="B438" s="1700">
        <v>30000</v>
      </c>
      <c r="C438" s="1696">
        <v>3150</v>
      </c>
      <c r="D438" s="1701">
        <f t="shared" si="29"/>
        <v>30000</v>
      </c>
      <c r="E438" s="1771">
        <v>30000</v>
      </c>
      <c r="F438" s="1701">
        <f t="shared" si="30"/>
        <v>0</v>
      </c>
      <c r="G438" s="1703">
        <f t="shared" si="31"/>
        <v>0</v>
      </c>
      <c r="J438" s="1704"/>
    </row>
    <row r="439" spans="2:10">
      <c r="B439" s="1700">
        <v>30000</v>
      </c>
      <c r="C439" s="1696">
        <v>3150</v>
      </c>
      <c r="D439" s="1701">
        <f t="shared" si="29"/>
        <v>30000</v>
      </c>
      <c r="E439" s="1771">
        <v>30000</v>
      </c>
      <c r="F439" s="1701">
        <f t="shared" si="30"/>
        <v>0</v>
      </c>
      <c r="G439" s="1703">
        <f t="shared" si="31"/>
        <v>0</v>
      </c>
      <c r="J439" s="1704"/>
    </row>
    <row r="440" spans="2:10">
      <c r="B440" s="1700">
        <v>30000</v>
      </c>
      <c r="C440" s="1696">
        <v>3150</v>
      </c>
      <c r="D440" s="1701">
        <f t="shared" si="29"/>
        <v>30000</v>
      </c>
      <c r="E440" s="1771">
        <v>30000</v>
      </c>
      <c r="F440" s="1701">
        <f t="shared" si="30"/>
        <v>0</v>
      </c>
      <c r="G440" s="1703">
        <f t="shared" si="31"/>
        <v>0</v>
      </c>
      <c r="J440" s="1704"/>
    </row>
    <row r="441" spans="2:10">
      <c r="B441" s="1700">
        <v>30000</v>
      </c>
      <c r="C441" s="1696">
        <v>3150</v>
      </c>
      <c r="D441" s="1701">
        <f t="shared" si="29"/>
        <v>30000</v>
      </c>
      <c r="E441" s="1771">
        <v>30000</v>
      </c>
      <c r="F441" s="1701">
        <f t="shared" si="30"/>
        <v>0</v>
      </c>
      <c r="G441" s="1703">
        <f t="shared" si="31"/>
        <v>0</v>
      </c>
      <c r="J441" s="1704"/>
    </row>
    <row r="442" spans="2:10">
      <c r="B442" s="1700">
        <v>30000</v>
      </c>
      <c r="C442" s="1696">
        <v>3150</v>
      </c>
      <c r="D442" s="1701">
        <f t="shared" si="29"/>
        <v>30000</v>
      </c>
      <c r="E442" s="1771">
        <v>30000</v>
      </c>
      <c r="F442" s="1701">
        <f t="shared" si="30"/>
        <v>0</v>
      </c>
      <c r="G442" s="1703">
        <f t="shared" si="31"/>
        <v>0</v>
      </c>
      <c r="J442" s="1704"/>
    </row>
    <row r="443" spans="2:10">
      <c r="B443" s="1700">
        <v>30000</v>
      </c>
      <c r="C443" s="1696">
        <v>3150</v>
      </c>
      <c r="D443" s="1701">
        <f t="shared" si="29"/>
        <v>30000</v>
      </c>
      <c r="E443" s="1771">
        <v>30000</v>
      </c>
      <c r="F443" s="1701">
        <f t="shared" si="30"/>
        <v>0</v>
      </c>
      <c r="G443" s="1703">
        <f t="shared" si="31"/>
        <v>0</v>
      </c>
      <c r="J443" s="1704"/>
    </row>
    <row r="444" spans="2:10">
      <c r="B444" s="1700">
        <v>30000</v>
      </c>
      <c r="C444" s="1696">
        <v>3150</v>
      </c>
      <c r="D444" s="1701">
        <f t="shared" si="29"/>
        <v>30000</v>
      </c>
      <c r="E444" s="1771">
        <v>30000</v>
      </c>
      <c r="F444" s="1701">
        <f t="shared" si="30"/>
        <v>0</v>
      </c>
      <c r="G444" s="1703">
        <f t="shared" si="31"/>
        <v>0</v>
      </c>
      <c r="J444" s="1704"/>
    </row>
    <row r="445" spans="2:10">
      <c r="B445" s="1700">
        <v>30000</v>
      </c>
      <c r="C445" s="1696">
        <v>3288</v>
      </c>
      <c r="D445" s="1701">
        <f t="shared" si="29"/>
        <v>30000</v>
      </c>
      <c r="E445" s="1771">
        <v>30000</v>
      </c>
      <c r="F445" s="1701">
        <f t="shared" si="30"/>
        <v>0</v>
      </c>
      <c r="G445" s="1703">
        <f t="shared" si="31"/>
        <v>0</v>
      </c>
      <c r="J445" s="1704"/>
    </row>
    <row r="446" spans="2:10">
      <c r="B446" s="1700">
        <v>30274.3</v>
      </c>
      <c r="C446" s="1696">
        <v>3150</v>
      </c>
      <c r="D446" s="1701">
        <f t="shared" si="29"/>
        <v>31000</v>
      </c>
      <c r="E446" s="1772">
        <v>35000</v>
      </c>
      <c r="F446" s="1701">
        <f t="shared" si="30"/>
        <v>4725.7000000000007</v>
      </c>
      <c r="G446" s="1703">
        <f t="shared" si="31"/>
        <v>0.15609609470739211</v>
      </c>
      <c r="H446" s="1747">
        <v>80</v>
      </c>
      <c r="J446" s="1748">
        <f>AVERAGE(B446:B525)</f>
        <v>33114.903249999996</v>
      </c>
    </row>
    <row r="447" spans="2:10">
      <c r="B447" s="1700">
        <v>30400</v>
      </c>
      <c r="C447" s="1696">
        <v>3288</v>
      </c>
      <c r="D447" s="1701">
        <f t="shared" si="29"/>
        <v>31000</v>
      </c>
      <c r="E447" s="1772">
        <v>35000</v>
      </c>
      <c r="F447" s="1701">
        <f t="shared" si="30"/>
        <v>4600</v>
      </c>
      <c r="G447" s="1703">
        <f t="shared" si="31"/>
        <v>0.15131578947368421</v>
      </c>
      <c r="J447" s="1704"/>
    </row>
    <row r="448" spans="2:10">
      <c r="B448" s="1700">
        <v>30500</v>
      </c>
      <c r="C448" s="1696">
        <v>3150</v>
      </c>
      <c r="D448" s="1701">
        <f t="shared" si="29"/>
        <v>31000</v>
      </c>
      <c r="E448" s="1772">
        <v>35000</v>
      </c>
      <c r="F448" s="1701">
        <f t="shared" si="30"/>
        <v>4500</v>
      </c>
      <c r="G448" s="1703">
        <f t="shared" si="31"/>
        <v>0.14754098360655737</v>
      </c>
      <c r="J448" s="1704"/>
    </row>
    <row r="449" spans="2:10">
      <c r="B449" s="1700">
        <v>30600</v>
      </c>
      <c r="C449" s="1696">
        <v>3288</v>
      </c>
      <c r="D449" s="1701">
        <f t="shared" si="29"/>
        <v>31000</v>
      </c>
      <c r="E449" s="1772">
        <v>35000</v>
      </c>
      <c r="F449" s="1701">
        <f t="shared" si="30"/>
        <v>4400</v>
      </c>
      <c r="G449" s="1703">
        <f t="shared" si="31"/>
        <v>0.1437908496732026</v>
      </c>
      <c r="J449" s="1704"/>
    </row>
    <row r="450" spans="2:10">
      <c r="B450" s="1700">
        <v>30620</v>
      </c>
      <c r="C450" s="1696">
        <v>3150</v>
      </c>
      <c r="D450" s="1701">
        <f t="shared" ref="D450:D513" si="32">ROUNDUP(B450,-3)</f>
        <v>31000</v>
      </c>
      <c r="E450" s="1772">
        <v>35000</v>
      </c>
      <c r="F450" s="1701">
        <f t="shared" ref="F450:F513" si="33">E450-B450</f>
        <v>4380</v>
      </c>
      <c r="G450" s="1703">
        <f t="shared" ref="G450:G513" si="34">F450/B450</f>
        <v>0.14304376224689747</v>
      </c>
      <c r="J450" s="1704"/>
    </row>
    <row r="451" spans="2:10">
      <c r="B451" s="1700">
        <v>30655</v>
      </c>
      <c r="C451" s="1696">
        <v>3150</v>
      </c>
      <c r="D451" s="1701">
        <f t="shared" si="32"/>
        <v>31000</v>
      </c>
      <c r="E451" s="1772">
        <v>35000</v>
      </c>
      <c r="F451" s="1701">
        <f t="shared" si="33"/>
        <v>4345</v>
      </c>
      <c r="G451" s="1703">
        <f t="shared" si="34"/>
        <v>0.14173870494209753</v>
      </c>
      <c r="J451" s="1704"/>
    </row>
    <row r="452" spans="2:10">
      <c r="B452" s="1700">
        <v>30660</v>
      </c>
      <c r="C452" s="1696">
        <v>3150</v>
      </c>
      <c r="D452" s="1701">
        <f t="shared" si="32"/>
        <v>31000</v>
      </c>
      <c r="E452" s="1772">
        <v>35000</v>
      </c>
      <c r="F452" s="1701">
        <f t="shared" si="33"/>
        <v>4340</v>
      </c>
      <c r="G452" s="1703">
        <f t="shared" si="34"/>
        <v>0.14155251141552511</v>
      </c>
      <c r="J452" s="1704"/>
    </row>
    <row r="453" spans="2:10">
      <c r="B453" s="1700">
        <v>30792</v>
      </c>
      <c r="C453" s="1696">
        <v>3150</v>
      </c>
      <c r="D453" s="1701">
        <f t="shared" si="32"/>
        <v>31000</v>
      </c>
      <c r="E453" s="1772">
        <v>35000</v>
      </c>
      <c r="F453" s="1701">
        <f t="shared" si="33"/>
        <v>4208</v>
      </c>
      <c r="G453" s="1703">
        <f t="shared" si="34"/>
        <v>0.13665887243439853</v>
      </c>
      <c r="J453" s="1704"/>
    </row>
    <row r="454" spans="2:10">
      <c r="B454" s="1700">
        <v>30999.45</v>
      </c>
      <c r="C454" s="1696">
        <v>3150</v>
      </c>
      <c r="D454" s="1701">
        <f t="shared" si="32"/>
        <v>31000</v>
      </c>
      <c r="E454" s="1772">
        <v>35000</v>
      </c>
      <c r="F454" s="1701">
        <f t="shared" si="33"/>
        <v>4000.5499999999993</v>
      </c>
      <c r="G454" s="1703">
        <f t="shared" si="34"/>
        <v>0.12905228963739676</v>
      </c>
      <c r="J454" s="1704"/>
    </row>
    <row r="455" spans="2:10">
      <c r="B455" s="1700">
        <v>31000</v>
      </c>
      <c r="C455" s="1696">
        <v>3150</v>
      </c>
      <c r="D455" s="1701">
        <f t="shared" si="32"/>
        <v>31000</v>
      </c>
      <c r="E455" s="1772">
        <v>35000</v>
      </c>
      <c r="F455" s="1701">
        <f t="shared" si="33"/>
        <v>4000</v>
      </c>
      <c r="G455" s="1703">
        <f t="shared" si="34"/>
        <v>0.12903225806451613</v>
      </c>
      <c r="J455" s="1704"/>
    </row>
    <row r="456" spans="2:10">
      <c r="B456" s="1700">
        <v>31043</v>
      </c>
      <c r="C456" s="1696">
        <v>3150</v>
      </c>
      <c r="D456" s="1701">
        <f t="shared" si="32"/>
        <v>32000</v>
      </c>
      <c r="E456" s="1772">
        <v>35000</v>
      </c>
      <c r="F456" s="1701">
        <f t="shared" si="33"/>
        <v>3957</v>
      </c>
      <c r="G456" s="1703">
        <f t="shared" si="34"/>
        <v>0.12746835035273651</v>
      </c>
      <c r="J456" s="1704"/>
    </row>
    <row r="457" spans="2:10">
      <c r="B457" s="1700">
        <v>31129</v>
      </c>
      <c r="C457" s="1696">
        <v>3288</v>
      </c>
      <c r="D457" s="1701">
        <f t="shared" si="32"/>
        <v>32000</v>
      </c>
      <c r="E457" s="1772">
        <v>35000</v>
      </c>
      <c r="F457" s="1701">
        <f t="shared" si="33"/>
        <v>3871</v>
      </c>
      <c r="G457" s="1703">
        <f t="shared" si="34"/>
        <v>0.12435349673937486</v>
      </c>
      <c r="J457" s="1704"/>
    </row>
    <row r="458" spans="2:10">
      <c r="B458" s="1700">
        <v>31267.84</v>
      </c>
      <c r="C458" s="1696">
        <v>3150</v>
      </c>
      <c r="D458" s="1701">
        <f t="shared" si="32"/>
        <v>32000</v>
      </c>
      <c r="E458" s="1772">
        <v>35000</v>
      </c>
      <c r="F458" s="1701">
        <f t="shared" si="33"/>
        <v>3732.16</v>
      </c>
      <c r="G458" s="1703">
        <f t="shared" si="34"/>
        <v>0.11936097920419191</v>
      </c>
      <c r="J458" s="1704"/>
    </row>
    <row r="459" spans="2:10">
      <c r="B459" s="1700">
        <v>31360.799999999999</v>
      </c>
      <c r="C459" s="1696">
        <v>3150</v>
      </c>
      <c r="D459" s="1701">
        <f t="shared" si="32"/>
        <v>32000</v>
      </c>
      <c r="E459" s="1772">
        <v>35000</v>
      </c>
      <c r="F459" s="1701">
        <f t="shared" si="33"/>
        <v>3639.2000000000007</v>
      </c>
      <c r="G459" s="1703">
        <f t="shared" si="34"/>
        <v>0.1160429580878039</v>
      </c>
      <c r="J459" s="1704"/>
    </row>
    <row r="460" spans="2:10">
      <c r="B460" s="1700">
        <v>31453</v>
      </c>
      <c r="C460" s="1696">
        <v>3288</v>
      </c>
      <c r="D460" s="1701">
        <f t="shared" si="32"/>
        <v>32000</v>
      </c>
      <c r="E460" s="1772">
        <v>35000</v>
      </c>
      <c r="F460" s="1701">
        <f t="shared" si="33"/>
        <v>3547</v>
      </c>
      <c r="G460" s="1703">
        <f t="shared" si="34"/>
        <v>0.11277143674689219</v>
      </c>
      <c r="J460" s="1704"/>
    </row>
    <row r="461" spans="2:10">
      <c r="B461" s="1700">
        <v>31556</v>
      </c>
      <c r="C461" s="1696">
        <v>3150</v>
      </c>
      <c r="D461" s="1701">
        <f t="shared" si="32"/>
        <v>32000</v>
      </c>
      <c r="E461" s="1772">
        <v>35000</v>
      </c>
      <c r="F461" s="1701">
        <f t="shared" si="33"/>
        <v>3444</v>
      </c>
      <c r="G461" s="1703">
        <f t="shared" si="34"/>
        <v>0.10913930789707187</v>
      </c>
      <c r="J461" s="1704"/>
    </row>
    <row r="462" spans="2:10">
      <c r="B462" s="1700">
        <v>31908</v>
      </c>
      <c r="C462" s="1696">
        <v>3150</v>
      </c>
      <c r="D462" s="1701">
        <f t="shared" si="32"/>
        <v>32000</v>
      </c>
      <c r="E462" s="1772">
        <v>35000</v>
      </c>
      <c r="F462" s="1701">
        <f t="shared" si="33"/>
        <v>3092</v>
      </c>
      <c r="G462" s="1703">
        <f t="shared" si="34"/>
        <v>9.6903597843800926E-2</v>
      </c>
      <c r="J462" s="1704"/>
    </row>
    <row r="463" spans="2:10">
      <c r="B463" s="1700">
        <v>31970</v>
      </c>
      <c r="C463" s="1696">
        <v>3150</v>
      </c>
      <c r="D463" s="1701">
        <f t="shared" si="32"/>
        <v>32000</v>
      </c>
      <c r="E463" s="1772">
        <v>35000</v>
      </c>
      <c r="F463" s="1701">
        <f t="shared" si="33"/>
        <v>3030</v>
      </c>
      <c r="G463" s="1703">
        <f t="shared" si="34"/>
        <v>9.4776352830778857E-2</v>
      </c>
      <c r="J463" s="1704"/>
    </row>
    <row r="464" spans="2:10">
      <c r="B464" s="1700">
        <v>31970</v>
      </c>
      <c r="C464" s="1696">
        <v>3288</v>
      </c>
      <c r="D464" s="1701">
        <f t="shared" si="32"/>
        <v>32000</v>
      </c>
      <c r="E464" s="1772">
        <v>35000</v>
      </c>
      <c r="F464" s="1701">
        <f t="shared" si="33"/>
        <v>3030</v>
      </c>
      <c r="G464" s="1703">
        <f t="shared" si="34"/>
        <v>9.4776352830778857E-2</v>
      </c>
      <c r="J464" s="1704"/>
    </row>
    <row r="465" spans="2:10">
      <c r="B465" s="1700">
        <v>31975</v>
      </c>
      <c r="C465" s="1696">
        <v>3288</v>
      </c>
      <c r="D465" s="1701">
        <f t="shared" si="32"/>
        <v>32000</v>
      </c>
      <c r="E465" s="1772">
        <v>35000</v>
      </c>
      <c r="F465" s="1701">
        <f t="shared" si="33"/>
        <v>3025</v>
      </c>
      <c r="G465" s="1703">
        <f t="shared" si="34"/>
        <v>9.4605160281469897E-2</v>
      </c>
      <c r="J465" s="1704"/>
    </row>
    <row r="466" spans="2:10">
      <c r="B466" s="1700">
        <v>31999.45</v>
      </c>
      <c r="C466" s="1696">
        <v>3150</v>
      </c>
      <c r="D466" s="1701">
        <f t="shared" si="32"/>
        <v>32000</v>
      </c>
      <c r="E466" s="1772">
        <v>35000</v>
      </c>
      <c r="F466" s="1701">
        <f t="shared" si="33"/>
        <v>3000.5499999999993</v>
      </c>
      <c r="G466" s="1703">
        <f t="shared" si="34"/>
        <v>9.3768799151235385E-2</v>
      </c>
      <c r="J466" s="1704"/>
    </row>
    <row r="467" spans="2:10">
      <c r="B467" s="1700">
        <v>32000</v>
      </c>
      <c r="C467" s="1696">
        <v>3150</v>
      </c>
      <c r="D467" s="1701">
        <f t="shared" si="32"/>
        <v>32000</v>
      </c>
      <c r="E467" s="1772">
        <v>35000</v>
      </c>
      <c r="F467" s="1701">
        <f t="shared" si="33"/>
        <v>3000</v>
      </c>
      <c r="G467" s="1703">
        <f t="shared" si="34"/>
        <v>9.375E-2</v>
      </c>
      <c r="J467" s="1704"/>
    </row>
    <row r="468" spans="2:10">
      <c r="B468" s="1700">
        <v>32000</v>
      </c>
      <c r="C468" s="1696">
        <v>3150</v>
      </c>
      <c r="D468" s="1701">
        <f t="shared" si="32"/>
        <v>32000</v>
      </c>
      <c r="E468" s="1772">
        <v>35000</v>
      </c>
      <c r="F468" s="1701">
        <f t="shared" si="33"/>
        <v>3000</v>
      </c>
      <c r="G468" s="1703">
        <f t="shared" si="34"/>
        <v>9.375E-2</v>
      </c>
      <c r="J468" s="1704"/>
    </row>
    <row r="469" spans="2:10">
      <c r="B469" s="1700">
        <v>32000</v>
      </c>
      <c r="C469" s="1696">
        <v>3150</v>
      </c>
      <c r="D469" s="1701">
        <f t="shared" si="32"/>
        <v>32000</v>
      </c>
      <c r="E469" s="1772">
        <f t="shared" ref="E469:E525" si="35">IF(B469&lt;=35000,35000)</f>
        <v>35000</v>
      </c>
      <c r="F469" s="1701">
        <f t="shared" si="33"/>
        <v>3000</v>
      </c>
      <c r="G469" s="1703">
        <f t="shared" si="34"/>
        <v>9.375E-2</v>
      </c>
      <c r="J469" s="1704"/>
    </row>
    <row r="470" spans="2:10">
      <c r="B470" s="1700">
        <v>32000</v>
      </c>
      <c r="C470" s="1696">
        <v>3150</v>
      </c>
      <c r="D470" s="1701">
        <f t="shared" si="32"/>
        <v>32000</v>
      </c>
      <c r="E470" s="1772">
        <f t="shared" si="35"/>
        <v>35000</v>
      </c>
      <c r="F470" s="1701">
        <f t="shared" si="33"/>
        <v>3000</v>
      </c>
      <c r="G470" s="1703">
        <f t="shared" si="34"/>
        <v>9.375E-2</v>
      </c>
      <c r="J470" s="1704"/>
    </row>
    <row r="471" spans="2:10">
      <c r="B471" s="1700">
        <v>32000</v>
      </c>
      <c r="C471" s="1696">
        <v>3150</v>
      </c>
      <c r="D471" s="1701">
        <f t="shared" si="32"/>
        <v>32000</v>
      </c>
      <c r="E471" s="1772">
        <f t="shared" si="35"/>
        <v>35000</v>
      </c>
      <c r="F471" s="1701">
        <f t="shared" si="33"/>
        <v>3000</v>
      </c>
      <c r="G471" s="1703">
        <f t="shared" si="34"/>
        <v>9.375E-2</v>
      </c>
      <c r="J471" s="1704"/>
    </row>
    <row r="472" spans="2:10">
      <c r="B472" s="1700">
        <v>32000</v>
      </c>
      <c r="C472" s="1696">
        <v>3150</v>
      </c>
      <c r="D472" s="1701">
        <f t="shared" si="32"/>
        <v>32000</v>
      </c>
      <c r="E472" s="1772">
        <f t="shared" si="35"/>
        <v>35000</v>
      </c>
      <c r="F472" s="1701">
        <f t="shared" si="33"/>
        <v>3000</v>
      </c>
      <c r="G472" s="1703">
        <f t="shared" si="34"/>
        <v>9.375E-2</v>
      </c>
      <c r="J472" s="1704"/>
    </row>
    <row r="473" spans="2:10">
      <c r="B473" s="1700">
        <v>32000</v>
      </c>
      <c r="C473" s="1696">
        <v>3288</v>
      </c>
      <c r="D473" s="1701">
        <f t="shared" si="32"/>
        <v>32000</v>
      </c>
      <c r="E473" s="1772">
        <f t="shared" si="35"/>
        <v>35000</v>
      </c>
      <c r="F473" s="1701">
        <f t="shared" si="33"/>
        <v>3000</v>
      </c>
      <c r="G473" s="1703">
        <f t="shared" si="34"/>
        <v>9.375E-2</v>
      </c>
      <c r="J473" s="1704"/>
    </row>
    <row r="474" spans="2:10">
      <c r="B474" s="1700">
        <v>32000</v>
      </c>
      <c r="C474" s="1696">
        <v>3288</v>
      </c>
      <c r="D474" s="1701">
        <f t="shared" si="32"/>
        <v>32000</v>
      </c>
      <c r="E474" s="1772">
        <f t="shared" si="35"/>
        <v>35000</v>
      </c>
      <c r="F474" s="1701">
        <f t="shared" si="33"/>
        <v>3000</v>
      </c>
      <c r="G474" s="1703">
        <f t="shared" si="34"/>
        <v>9.375E-2</v>
      </c>
      <c r="J474" s="1704"/>
    </row>
    <row r="475" spans="2:10">
      <c r="B475" s="1700">
        <v>32047</v>
      </c>
      <c r="C475" s="1696">
        <v>3150</v>
      </c>
      <c r="D475" s="1701">
        <f t="shared" si="32"/>
        <v>33000</v>
      </c>
      <c r="E475" s="1772">
        <f t="shared" si="35"/>
        <v>35000</v>
      </c>
      <c r="F475" s="1701">
        <f t="shared" si="33"/>
        <v>2953</v>
      </c>
      <c r="G475" s="1703">
        <f t="shared" si="34"/>
        <v>9.2145910693668676E-2</v>
      </c>
      <c r="J475" s="1704"/>
    </row>
    <row r="476" spans="2:10">
      <c r="B476" s="1700">
        <v>32220</v>
      </c>
      <c r="C476" s="1696">
        <v>3150</v>
      </c>
      <c r="D476" s="1701">
        <f t="shared" si="32"/>
        <v>33000</v>
      </c>
      <c r="E476" s="1772">
        <f t="shared" si="35"/>
        <v>35000</v>
      </c>
      <c r="F476" s="1701">
        <f t="shared" si="33"/>
        <v>2780</v>
      </c>
      <c r="G476" s="1703">
        <f t="shared" si="34"/>
        <v>8.6281812538795785E-2</v>
      </c>
      <c r="J476" s="1704"/>
    </row>
    <row r="477" spans="2:10">
      <c r="B477" s="1700">
        <v>32362</v>
      </c>
      <c r="C477" s="1696">
        <v>3150</v>
      </c>
      <c r="D477" s="1701">
        <f t="shared" si="32"/>
        <v>33000</v>
      </c>
      <c r="E477" s="1772">
        <f t="shared" si="35"/>
        <v>35000</v>
      </c>
      <c r="F477" s="1701">
        <f t="shared" si="33"/>
        <v>2638</v>
      </c>
      <c r="G477" s="1703">
        <f t="shared" si="34"/>
        <v>8.1515357518076759E-2</v>
      </c>
      <c r="J477" s="1704"/>
    </row>
    <row r="478" spans="2:10">
      <c r="B478" s="1700">
        <v>32452</v>
      </c>
      <c r="C478" s="1696">
        <v>3150</v>
      </c>
      <c r="D478" s="1701">
        <f t="shared" si="32"/>
        <v>33000</v>
      </c>
      <c r="E478" s="1772">
        <f t="shared" si="35"/>
        <v>35000</v>
      </c>
      <c r="F478" s="1701">
        <f t="shared" si="33"/>
        <v>2548</v>
      </c>
      <c r="G478" s="1703">
        <f t="shared" si="34"/>
        <v>7.8515962036238132E-2</v>
      </c>
      <c r="J478" s="1704"/>
    </row>
    <row r="479" spans="2:10">
      <c r="B479" s="1700">
        <v>32500</v>
      </c>
      <c r="C479" s="1696">
        <v>3150</v>
      </c>
      <c r="D479" s="1701">
        <f t="shared" si="32"/>
        <v>33000</v>
      </c>
      <c r="E479" s="1772">
        <f t="shared" si="35"/>
        <v>35000</v>
      </c>
      <c r="F479" s="1701">
        <f t="shared" si="33"/>
        <v>2500</v>
      </c>
      <c r="G479" s="1703">
        <f t="shared" si="34"/>
        <v>7.6923076923076927E-2</v>
      </c>
      <c r="J479" s="1704"/>
    </row>
    <row r="480" spans="2:10">
      <c r="B480" s="1700">
        <v>32500</v>
      </c>
      <c r="C480" s="1696">
        <v>3150</v>
      </c>
      <c r="D480" s="1701">
        <f t="shared" si="32"/>
        <v>33000</v>
      </c>
      <c r="E480" s="1772">
        <f t="shared" si="35"/>
        <v>35000</v>
      </c>
      <c r="F480" s="1701">
        <f t="shared" si="33"/>
        <v>2500</v>
      </c>
      <c r="G480" s="1703">
        <f t="shared" si="34"/>
        <v>7.6923076923076927E-2</v>
      </c>
      <c r="J480" s="1704"/>
    </row>
    <row r="481" spans="2:10">
      <c r="B481" s="1700">
        <v>32500</v>
      </c>
      <c r="C481" s="1696">
        <v>3150</v>
      </c>
      <c r="D481" s="1701">
        <f t="shared" si="32"/>
        <v>33000</v>
      </c>
      <c r="E481" s="1772">
        <f t="shared" si="35"/>
        <v>35000</v>
      </c>
      <c r="F481" s="1701">
        <f t="shared" si="33"/>
        <v>2500</v>
      </c>
      <c r="G481" s="1703">
        <f t="shared" si="34"/>
        <v>7.6923076923076927E-2</v>
      </c>
      <c r="J481" s="1704"/>
    </row>
    <row r="482" spans="2:10">
      <c r="B482" s="1700">
        <v>32548</v>
      </c>
      <c r="C482" s="1696">
        <v>3150</v>
      </c>
      <c r="D482" s="1701">
        <f t="shared" si="32"/>
        <v>33000</v>
      </c>
      <c r="E482" s="1772">
        <f t="shared" si="35"/>
        <v>35000</v>
      </c>
      <c r="F482" s="1701">
        <f t="shared" si="33"/>
        <v>2452</v>
      </c>
      <c r="G482" s="1703">
        <f t="shared" si="34"/>
        <v>7.5334890008602676E-2</v>
      </c>
      <c r="J482" s="1704"/>
    </row>
    <row r="483" spans="2:10">
      <c r="B483" s="1700">
        <v>32850</v>
      </c>
      <c r="C483" s="1696">
        <v>3150</v>
      </c>
      <c r="D483" s="1701">
        <f t="shared" si="32"/>
        <v>33000</v>
      </c>
      <c r="E483" s="1772">
        <f t="shared" si="35"/>
        <v>35000</v>
      </c>
      <c r="F483" s="1701">
        <f t="shared" si="33"/>
        <v>2150</v>
      </c>
      <c r="G483" s="1703">
        <f t="shared" si="34"/>
        <v>6.5449010654490103E-2</v>
      </c>
      <c r="J483" s="1704"/>
    </row>
    <row r="484" spans="2:10">
      <c r="B484" s="1700">
        <v>32850</v>
      </c>
      <c r="C484" s="1696">
        <v>3150</v>
      </c>
      <c r="D484" s="1701">
        <f t="shared" si="32"/>
        <v>33000</v>
      </c>
      <c r="E484" s="1772">
        <f t="shared" si="35"/>
        <v>35000</v>
      </c>
      <c r="F484" s="1701">
        <f t="shared" si="33"/>
        <v>2150</v>
      </c>
      <c r="G484" s="1703">
        <f t="shared" si="34"/>
        <v>6.5449010654490103E-2</v>
      </c>
      <c r="J484" s="1704"/>
    </row>
    <row r="485" spans="2:10">
      <c r="B485" s="1700">
        <v>32850</v>
      </c>
      <c r="C485" s="1696">
        <v>3150</v>
      </c>
      <c r="D485" s="1701">
        <f t="shared" si="32"/>
        <v>33000</v>
      </c>
      <c r="E485" s="1772">
        <f t="shared" si="35"/>
        <v>35000</v>
      </c>
      <c r="F485" s="1701">
        <f t="shared" si="33"/>
        <v>2150</v>
      </c>
      <c r="G485" s="1703">
        <f t="shared" si="34"/>
        <v>6.5449010654490103E-2</v>
      </c>
      <c r="J485" s="1704"/>
    </row>
    <row r="486" spans="2:10">
      <c r="B486" s="1700">
        <v>33000</v>
      </c>
      <c r="C486" s="1696">
        <v>3288</v>
      </c>
      <c r="D486" s="1701">
        <f t="shared" si="32"/>
        <v>33000</v>
      </c>
      <c r="E486" s="1772">
        <f t="shared" si="35"/>
        <v>35000</v>
      </c>
      <c r="F486" s="1701">
        <f t="shared" si="33"/>
        <v>2000</v>
      </c>
      <c r="G486" s="1703">
        <f t="shared" si="34"/>
        <v>6.0606060606060608E-2</v>
      </c>
      <c r="J486" s="1704"/>
    </row>
    <row r="487" spans="2:10">
      <c r="B487" s="1700">
        <v>33028</v>
      </c>
      <c r="C487" s="1696">
        <v>3150</v>
      </c>
      <c r="D487" s="1701">
        <f t="shared" si="32"/>
        <v>34000</v>
      </c>
      <c r="E487" s="1772">
        <f t="shared" si="35"/>
        <v>35000</v>
      </c>
      <c r="F487" s="1701">
        <f t="shared" si="33"/>
        <v>1972</v>
      </c>
      <c r="G487" s="1703">
        <f t="shared" si="34"/>
        <v>5.9706915344556133E-2</v>
      </c>
      <c r="J487" s="1704"/>
    </row>
    <row r="488" spans="2:10">
      <c r="B488" s="1700">
        <v>33397.5</v>
      </c>
      <c r="C488" s="1696">
        <v>3150</v>
      </c>
      <c r="D488" s="1701">
        <f t="shared" si="32"/>
        <v>34000</v>
      </c>
      <c r="E488" s="1772">
        <f t="shared" si="35"/>
        <v>35000</v>
      </c>
      <c r="F488" s="1701">
        <f t="shared" si="33"/>
        <v>1602.5</v>
      </c>
      <c r="G488" s="1703">
        <f t="shared" si="34"/>
        <v>4.7982633430646009E-2</v>
      </c>
      <c r="J488" s="1704"/>
    </row>
    <row r="489" spans="2:10">
      <c r="B489" s="1700">
        <v>33600</v>
      </c>
      <c r="C489" s="1696">
        <v>3150</v>
      </c>
      <c r="D489" s="1701">
        <f t="shared" si="32"/>
        <v>34000</v>
      </c>
      <c r="E489" s="1772">
        <f t="shared" si="35"/>
        <v>35000</v>
      </c>
      <c r="F489" s="1701">
        <f t="shared" si="33"/>
        <v>1400</v>
      </c>
      <c r="G489" s="1703">
        <f t="shared" si="34"/>
        <v>4.1666666666666664E-2</v>
      </c>
      <c r="J489" s="1704"/>
    </row>
    <row r="490" spans="2:10">
      <c r="B490" s="1700">
        <v>33625</v>
      </c>
      <c r="C490" s="1696">
        <v>3150</v>
      </c>
      <c r="D490" s="1701">
        <f t="shared" si="32"/>
        <v>34000</v>
      </c>
      <c r="E490" s="1772">
        <f t="shared" si="35"/>
        <v>35000</v>
      </c>
      <c r="F490" s="1701">
        <f t="shared" si="33"/>
        <v>1375</v>
      </c>
      <c r="G490" s="1703">
        <f t="shared" si="34"/>
        <v>4.0892193308550186E-2</v>
      </c>
      <c r="J490" s="1704"/>
    </row>
    <row r="491" spans="2:10">
      <c r="B491" s="1700">
        <v>33799</v>
      </c>
      <c r="C491" s="1696">
        <v>3150</v>
      </c>
      <c r="D491" s="1701">
        <f t="shared" si="32"/>
        <v>34000</v>
      </c>
      <c r="E491" s="1772">
        <f t="shared" si="35"/>
        <v>35000</v>
      </c>
      <c r="F491" s="1701">
        <f t="shared" si="33"/>
        <v>1201</v>
      </c>
      <c r="G491" s="1703">
        <f t="shared" si="34"/>
        <v>3.5533595668510901E-2</v>
      </c>
      <c r="J491" s="1704"/>
    </row>
    <row r="492" spans="2:10">
      <c r="B492" s="1700">
        <v>33800</v>
      </c>
      <c r="C492" s="1696">
        <v>3150</v>
      </c>
      <c r="D492" s="1701">
        <f t="shared" si="32"/>
        <v>34000</v>
      </c>
      <c r="E492" s="1772">
        <f t="shared" si="35"/>
        <v>35000</v>
      </c>
      <c r="F492" s="1701">
        <f t="shared" si="33"/>
        <v>1200</v>
      </c>
      <c r="G492" s="1703">
        <f t="shared" si="34"/>
        <v>3.5502958579881658E-2</v>
      </c>
      <c r="J492" s="1704"/>
    </row>
    <row r="493" spans="2:10">
      <c r="B493" s="1700">
        <v>33927</v>
      </c>
      <c r="C493" s="1696">
        <v>3150</v>
      </c>
      <c r="D493" s="1701">
        <f t="shared" si="32"/>
        <v>34000</v>
      </c>
      <c r="E493" s="1772">
        <f t="shared" si="35"/>
        <v>35000</v>
      </c>
      <c r="F493" s="1701">
        <f t="shared" si="33"/>
        <v>1073</v>
      </c>
      <c r="G493" s="1703">
        <f t="shared" si="34"/>
        <v>3.1626727974769356E-2</v>
      </c>
      <c r="J493" s="1704"/>
    </row>
    <row r="494" spans="2:10">
      <c r="B494" s="1700">
        <v>34000</v>
      </c>
      <c r="C494" s="1696">
        <v>3150</v>
      </c>
      <c r="D494" s="1701">
        <f t="shared" si="32"/>
        <v>34000</v>
      </c>
      <c r="E494" s="1772">
        <f t="shared" si="35"/>
        <v>35000</v>
      </c>
      <c r="F494" s="1701">
        <f t="shared" si="33"/>
        <v>1000</v>
      </c>
      <c r="G494" s="1703">
        <f t="shared" si="34"/>
        <v>2.9411764705882353E-2</v>
      </c>
      <c r="J494" s="1704"/>
    </row>
    <row r="495" spans="2:10">
      <c r="B495" s="1700">
        <v>34000</v>
      </c>
      <c r="C495" s="1696">
        <v>3150</v>
      </c>
      <c r="D495" s="1701">
        <f t="shared" si="32"/>
        <v>34000</v>
      </c>
      <c r="E495" s="1772">
        <f t="shared" si="35"/>
        <v>35000</v>
      </c>
      <c r="F495" s="1701">
        <f t="shared" si="33"/>
        <v>1000</v>
      </c>
      <c r="G495" s="1703">
        <f t="shared" si="34"/>
        <v>2.9411764705882353E-2</v>
      </c>
      <c r="J495" s="1704"/>
    </row>
    <row r="496" spans="2:10">
      <c r="B496" s="1700">
        <v>34112</v>
      </c>
      <c r="C496" s="1696">
        <v>3150</v>
      </c>
      <c r="D496" s="1701">
        <f t="shared" si="32"/>
        <v>35000</v>
      </c>
      <c r="E496" s="1772">
        <f t="shared" si="35"/>
        <v>35000</v>
      </c>
      <c r="F496" s="1701">
        <f t="shared" si="33"/>
        <v>888</v>
      </c>
      <c r="G496" s="1703">
        <f t="shared" si="34"/>
        <v>2.6031894934333957E-2</v>
      </c>
      <c r="J496" s="1704"/>
    </row>
    <row r="497" spans="2:10">
      <c r="B497" s="1700">
        <v>34191</v>
      </c>
      <c r="C497" s="1696">
        <v>3150</v>
      </c>
      <c r="D497" s="1701">
        <f t="shared" si="32"/>
        <v>35000</v>
      </c>
      <c r="E497" s="1772">
        <f t="shared" si="35"/>
        <v>35000</v>
      </c>
      <c r="F497" s="1701">
        <f t="shared" si="33"/>
        <v>809</v>
      </c>
      <c r="G497" s="1703">
        <f t="shared" si="34"/>
        <v>2.3661197391126321E-2</v>
      </c>
      <c r="J497" s="1704"/>
    </row>
    <row r="498" spans="2:10">
      <c r="B498" s="1700">
        <v>34212</v>
      </c>
      <c r="C498" s="1696">
        <v>3150</v>
      </c>
      <c r="D498" s="1701">
        <f t="shared" si="32"/>
        <v>35000</v>
      </c>
      <c r="E498" s="1772">
        <f t="shared" si="35"/>
        <v>35000</v>
      </c>
      <c r="F498" s="1701">
        <f t="shared" si="33"/>
        <v>788</v>
      </c>
      <c r="G498" s="1703">
        <f t="shared" si="34"/>
        <v>2.3032853969367474E-2</v>
      </c>
      <c r="J498" s="1704"/>
    </row>
    <row r="499" spans="2:10">
      <c r="B499" s="1700">
        <v>34299.96</v>
      </c>
      <c r="C499" s="1696">
        <v>3150</v>
      </c>
      <c r="D499" s="1701">
        <f t="shared" si="32"/>
        <v>35000</v>
      </c>
      <c r="E499" s="1772">
        <f t="shared" si="35"/>
        <v>35000</v>
      </c>
      <c r="F499" s="1701">
        <f t="shared" si="33"/>
        <v>700.04000000000087</v>
      </c>
      <c r="G499" s="1703">
        <f t="shared" si="34"/>
        <v>2.0409353247059205E-2</v>
      </c>
      <c r="J499" s="1704"/>
    </row>
    <row r="500" spans="2:10">
      <c r="B500" s="1700">
        <v>34369</v>
      </c>
      <c r="C500" s="1696">
        <v>3150</v>
      </c>
      <c r="D500" s="1701">
        <f t="shared" si="32"/>
        <v>35000</v>
      </c>
      <c r="E500" s="1772">
        <f t="shared" si="35"/>
        <v>35000</v>
      </c>
      <c r="F500" s="1701">
        <f t="shared" si="33"/>
        <v>631</v>
      </c>
      <c r="G500" s="1703">
        <f t="shared" si="34"/>
        <v>1.8359568215543076E-2</v>
      </c>
      <c r="J500" s="1704"/>
    </row>
    <row r="501" spans="2:10">
      <c r="B501" s="1700">
        <v>34500</v>
      </c>
      <c r="C501" s="1696">
        <v>3150</v>
      </c>
      <c r="D501" s="1701">
        <f t="shared" si="32"/>
        <v>35000</v>
      </c>
      <c r="E501" s="1772">
        <f t="shared" si="35"/>
        <v>35000</v>
      </c>
      <c r="F501" s="1701">
        <f t="shared" si="33"/>
        <v>500</v>
      </c>
      <c r="G501" s="1703">
        <f t="shared" si="34"/>
        <v>1.4492753623188406E-2</v>
      </c>
      <c r="J501" s="1704"/>
    </row>
    <row r="502" spans="2:10">
      <c r="B502" s="1700">
        <v>34599.96</v>
      </c>
      <c r="C502" s="1696">
        <v>3288</v>
      </c>
      <c r="D502" s="1701">
        <f t="shared" si="32"/>
        <v>35000</v>
      </c>
      <c r="E502" s="1772">
        <f t="shared" si="35"/>
        <v>35000</v>
      </c>
      <c r="F502" s="1701">
        <f t="shared" si="33"/>
        <v>400.04000000000087</v>
      </c>
      <c r="G502" s="1703">
        <f t="shared" si="34"/>
        <v>1.1561863077298382E-2</v>
      </c>
      <c r="J502" s="1704"/>
    </row>
    <row r="503" spans="2:10">
      <c r="B503" s="1700">
        <v>34920</v>
      </c>
      <c r="C503" s="1696">
        <v>3288</v>
      </c>
      <c r="D503" s="1701">
        <f t="shared" si="32"/>
        <v>35000</v>
      </c>
      <c r="E503" s="1772">
        <f t="shared" si="35"/>
        <v>35000</v>
      </c>
      <c r="F503" s="1701">
        <f t="shared" si="33"/>
        <v>80</v>
      </c>
      <c r="G503" s="1703">
        <f t="shared" si="34"/>
        <v>2.2909507445589921E-3</v>
      </c>
      <c r="J503" s="1704"/>
    </row>
    <row r="504" spans="2:10">
      <c r="B504" s="1700">
        <v>35000</v>
      </c>
      <c r="C504" s="1696">
        <v>3150</v>
      </c>
      <c r="D504" s="1701">
        <f t="shared" si="32"/>
        <v>35000</v>
      </c>
      <c r="E504" s="1772">
        <f t="shared" si="35"/>
        <v>35000</v>
      </c>
      <c r="F504" s="1701">
        <f t="shared" si="33"/>
        <v>0</v>
      </c>
      <c r="G504" s="1703">
        <f t="shared" si="34"/>
        <v>0</v>
      </c>
      <c r="J504" s="1704"/>
    </row>
    <row r="505" spans="2:10">
      <c r="B505" s="1700">
        <v>35000</v>
      </c>
      <c r="C505" s="1696">
        <v>3150</v>
      </c>
      <c r="D505" s="1701">
        <f t="shared" si="32"/>
        <v>35000</v>
      </c>
      <c r="E505" s="1772">
        <f t="shared" si="35"/>
        <v>35000</v>
      </c>
      <c r="F505" s="1701">
        <f t="shared" si="33"/>
        <v>0</v>
      </c>
      <c r="G505" s="1703">
        <f t="shared" si="34"/>
        <v>0</v>
      </c>
      <c r="J505" s="1704"/>
    </row>
    <row r="506" spans="2:10">
      <c r="B506" s="1700">
        <v>35000</v>
      </c>
      <c r="C506" s="1696">
        <v>3150</v>
      </c>
      <c r="D506" s="1701">
        <f t="shared" si="32"/>
        <v>35000</v>
      </c>
      <c r="E506" s="1772">
        <f t="shared" si="35"/>
        <v>35000</v>
      </c>
      <c r="F506" s="1701">
        <f t="shared" si="33"/>
        <v>0</v>
      </c>
      <c r="G506" s="1703">
        <f t="shared" si="34"/>
        <v>0</v>
      </c>
      <c r="J506" s="1704"/>
    </row>
    <row r="507" spans="2:10">
      <c r="B507" s="1700">
        <v>35000</v>
      </c>
      <c r="C507" s="1696">
        <v>3150</v>
      </c>
      <c r="D507" s="1701">
        <f t="shared" si="32"/>
        <v>35000</v>
      </c>
      <c r="E507" s="1772">
        <f t="shared" si="35"/>
        <v>35000</v>
      </c>
      <c r="F507" s="1701">
        <f t="shared" si="33"/>
        <v>0</v>
      </c>
      <c r="G507" s="1703">
        <f t="shared" si="34"/>
        <v>0</v>
      </c>
      <c r="J507" s="1704"/>
    </row>
    <row r="508" spans="2:10">
      <c r="B508" s="1700">
        <v>35000</v>
      </c>
      <c r="C508" s="1696">
        <v>3150</v>
      </c>
      <c r="D508" s="1701">
        <f t="shared" si="32"/>
        <v>35000</v>
      </c>
      <c r="E508" s="1772">
        <f t="shared" si="35"/>
        <v>35000</v>
      </c>
      <c r="F508" s="1701">
        <f t="shared" si="33"/>
        <v>0</v>
      </c>
      <c r="G508" s="1703">
        <f t="shared" si="34"/>
        <v>0</v>
      </c>
      <c r="J508" s="1704"/>
    </row>
    <row r="509" spans="2:10">
      <c r="B509" s="1700">
        <v>35000</v>
      </c>
      <c r="C509" s="1696">
        <v>3150</v>
      </c>
      <c r="D509" s="1701">
        <f t="shared" si="32"/>
        <v>35000</v>
      </c>
      <c r="E509" s="1772">
        <f t="shared" si="35"/>
        <v>35000</v>
      </c>
      <c r="F509" s="1701">
        <f t="shared" si="33"/>
        <v>0</v>
      </c>
      <c r="G509" s="1703">
        <f t="shared" si="34"/>
        <v>0</v>
      </c>
      <c r="J509" s="1704"/>
    </row>
    <row r="510" spans="2:10">
      <c r="B510" s="1700">
        <v>35000</v>
      </c>
      <c r="C510" s="1696">
        <v>3150</v>
      </c>
      <c r="D510" s="1701">
        <f t="shared" si="32"/>
        <v>35000</v>
      </c>
      <c r="E510" s="1772">
        <f t="shared" si="35"/>
        <v>35000</v>
      </c>
      <c r="F510" s="1701">
        <f t="shared" si="33"/>
        <v>0</v>
      </c>
      <c r="G510" s="1703">
        <f t="shared" si="34"/>
        <v>0</v>
      </c>
      <c r="J510" s="1704"/>
    </row>
    <row r="511" spans="2:10">
      <c r="B511" s="1700">
        <v>35000</v>
      </c>
      <c r="C511" s="1696">
        <v>3150</v>
      </c>
      <c r="D511" s="1701">
        <f t="shared" si="32"/>
        <v>35000</v>
      </c>
      <c r="E511" s="1772">
        <f t="shared" si="35"/>
        <v>35000</v>
      </c>
      <c r="F511" s="1701">
        <f t="shared" si="33"/>
        <v>0</v>
      </c>
      <c r="G511" s="1703">
        <f t="shared" si="34"/>
        <v>0</v>
      </c>
      <c r="J511" s="1704"/>
    </row>
    <row r="512" spans="2:10">
      <c r="B512" s="1700">
        <v>35000</v>
      </c>
      <c r="C512" s="1696">
        <v>3150</v>
      </c>
      <c r="D512" s="1701">
        <f t="shared" si="32"/>
        <v>35000</v>
      </c>
      <c r="E512" s="1772">
        <f t="shared" si="35"/>
        <v>35000</v>
      </c>
      <c r="F512" s="1701">
        <f t="shared" si="33"/>
        <v>0</v>
      </c>
      <c r="G512" s="1703">
        <f t="shared" si="34"/>
        <v>0</v>
      </c>
      <c r="J512" s="1704"/>
    </row>
    <row r="513" spans="2:10">
      <c r="B513" s="1700">
        <v>35000</v>
      </c>
      <c r="C513" s="1696">
        <v>3150</v>
      </c>
      <c r="D513" s="1701">
        <f t="shared" si="32"/>
        <v>35000</v>
      </c>
      <c r="E513" s="1772">
        <f t="shared" si="35"/>
        <v>35000</v>
      </c>
      <c r="F513" s="1701">
        <f t="shared" si="33"/>
        <v>0</v>
      </c>
      <c r="G513" s="1703">
        <f t="shared" si="34"/>
        <v>0</v>
      </c>
      <c r="J513" s="1704"/>
    </row>
    <row r="514" spans="2:10">
      <c r="B514" s="1700">
        <v>35000</v>
      </c>
      <c r="C514" s="1696">
        <v>3150</v>
      </c>
      <c r="D514" s="1701">
        <f t="shared" ref="D514:D577" si="36">ROUNDUP(B514,-3)</f>
        <v>35000</v>
      </c>
      <c r="E514" s="1772">
        <f t="shared" si="35"/>
        <v>35000</v>
      </c>
      <c r="F514" s="1701">
        <f t="shared" ref="F514:F577" si="37">E514-B514</f>
        <v>0</v>
      </c>
      <c r="G514" s="1703">
        <f t="shared" ref="G514:G577" si="38">F514/B514</f>
        <v>0</v>
      </c>
      <c r="J514" s="1704"/>
    </row>
    <row r="515" spans="2:10">
      <c r="B515" s="1700">
        <v>35000</v>
      </c>
      <c r="C515" s="1696">
        <v>3150</v>
      </c>
      <c r="D515" s="1701">
        <f t="shared" si="36"/>
        <v>35000</v>
      </c>
      <c r="E515" s="1772">
        <f t="shared" si="35"/>
        <v>35000</v>
      </c>
      <c r="F515" s="1701">
        <f t="shared" si="37"/>
        <v>0</v>
      </c>
      <c r="G515" s="1703">
        <f t="shared" si="38"/>
        <v>0</v>
      </c>
      <c r="J515" s="1704"/>
    </row>
    <row r="516" spans="2:10">
      <c r="B516" s="1700">
        <v>35000</v>
      </c>
      <c r="C516" s="1696">
        <v>3150</v>
      </c>
      <c r="D516" s="1701">
        <f t="shared" si="36"/>
        <v>35000</v>
      </c>
      <c r="E516" s="1772">
        <f t="shared" si="35"/>
        <v>35000</v>
      </c>
      <c r="F516" s="1701">
        <f t="shared" si="37"/>
        <v>0</v>
      </c>
      <c r="G516" s="1703">
        <f t="shared" si="38"/>
        <v>0</v>
      </c>
      <c r="J516" s="1704"/>
    </row>
    <row r="517" spans="2:10">
      <c r="B517" s="1700">
        <v>35000</v>
      </c>
      <c r="C517" s="1696">
        <v>3150</v>
      </c>
      <c r="D517" s="1701">
        <f t="shared" si="36"/>
        <v>35000</v>
      </c>
      <c r="E517" s="1772">
        <f t="shared" si="35"/>
        <v>35000</v>
      </c>
      <c r="F517" s="1701">
        <f t="shared" si="37"/>
        <v>0</v>
      </c>
      <c r="G517" s="1703">
        <f t="shared" si="38"/>
        <v>0</v>
      </c>
      <c r="J517" s="1704"/>
    </row>
    <row r="518" spans="2:10">
      <c r="B518" s="1700">
        <v>35000</v>
      </c>
      <c r="C518" s="1696">
        <v>3150</v>
      </c>
      <c r="D518" s="1701">
        <f t="shared" si="36"/>
        <v>35000</v>
      </c>
      <c r="E518" s="1772">
        <f t="shared" si="35"/>
        <v>35000</v>
      </c>
      <c r="F518" s="1701">
        <f t="shared" si="37"/>
        <v>0</v>
      </c>
      <c r="G518" s="1703">
        <f t="shared" si="38"/>
        <v>0</v>
      </c>
      <c r="J518" s="1704"/>
    </row>
    <row r="519" spans="2:10">
      <c r="B519" s="1700">
        <v>35000</v>
      </c>
      <c r="C519" s="1696">
        <v>3150</v>
      </c>
      <c r="D519" s="1701">
        <f t="shared" si="36"/>
        <v>35000</v>
      </c>
      <c r="E519" s="1772">
        <f t="shared" si="35"/>
        <v>35000</v>
      </c>
      <c r="F519" s="1701">
        <f t="shared" si="37"/>
        <v>0</v>
      </c>
      <c r="G519" s="1703">
        <f t="shared" si="38"/>
        <v>0</v>
      </c>
      <c r="J519" s="1704"/>
    </row>
    <row r="520" spans="2:10">
      <c r="B520" s="1700">
        <v>35000</v>
      </c>
      <c r="C520" s="1696">
        <v>3150</v>
      </c>
      <c r="D520" s="1701">
        <f t="shared" si="36"/>
        <v>35000</v>
      </c>
      <c r="E520" s="1772">
        <f t="shared" si="35"/>
        <v>35000</v>
      </c>
      <c r="F520" s="1701">
        <f t="shared" si="37"/>
        <v>0</v>
      </c>
      <c r="G520" s="1703">
        <f t="shared" si="38"/>
        <v>0</v>
      </c>
      <c r="J520" s="1704"/>
    </row>
    <row r="521" spans="2:10">
      <c r="B521" s="1700">
        <v>35000</v>
      </c>
      <c r="C521" s="1696">
        <v>3150</v>
      </c>
      <c r="D521" s="1701">
        <f t="shared" si="36"/>
        <v>35000</v>
      </c>
      <c r="E521" s="1772">
        <f t="shared" si="35"/>
        <v>35000</v>
      </c>
      <c r="F521" s="1701">
        <f t="shared" si="37"/>
        <v>0</v>
      </c>
      <c r="G521" s="1703">
        <f t="shared" si="38"/>
        <v>0</v>
      </c>
      <c r="J521" s="1704"/>
    </row>
    <row r="522" spans="2:10">
      <c r="B522" s="1700">
        <v>35000</v>
      </c>
      <c r="C522" s="1696">
        <v>3150</v>
      </c>
      <c r="D522" s="1701">
        <f t="shared" si="36"/>
        <v>35000</v>
      </c>
      <c r="E522" s="1772">
        <f t="shared" si="35"/>
        <v>35000</v>
      </c>
      <c r="F522" s="1701">
        <f t="shared" si="37"/>
        <v>0</v>
      </c>
      <c r="G522" s="1703">
        <f t="shared" si="38"/>
        <v>0</v>
      </c>
      <c r="J522" s="1704"/>
    </row>
    <row r="523" spans="2:10">
      <c r="B523" s="1700">
        <v>35000</v>
      </c>
      <c r="C523" s="1696">
        <v>3150</v>
      </c>
      <c r="D523" s="1701">
        <f t="shared" si="36"/>
        <v>35000</v>
      </c>
      <c r="E523" s="1772">
        <f t="shared" si="35"/>
        <v>35000</v>
      </c>
      <c r="F523" s="1701">
        <f t="shared" si="37"/>
        <v>0</v>
      </c>
      <c r="G523" s="1703">
        <f t="shared" si="38"/>
        <v>0</v>
      </c>
      <c r="J523" s="1704"/>
    </row>
    <row r="524" spans="2:10">
      <c r="B524" s="1700">
        <v>35000</v>
      </c>
      <c r="C524" s="1696">
        <v>3150</v>
      </c>
      <c r="D524" s="1701">
        <f t="shared" si="36"/>
        <v>35000</v>
      </c>
      <c r="E524" s="1772">
        <f t="shared" si="35"/>
        <v>35000</v>
      </c>
      <c r="F524" s="1701">
        <f t="shared" si="37"/>
        <v>0</v>
      </c>
      <c r="G524" s="1703">
        <f t="shared" si="38"/>
        <v>0</v>
      </c>
      <c r="J524" s="1704"/>
    </row>
    <row r="525" spans="2:10">
      <c r="B525" s="1700">
        <v>35000</v>
      </c>
      <c r="C525" s="1696">
        <v>3288</v>
      </c>
      <c r="D525" s="1701">
        <f t="shared" si="36"/>
        <v>35000</v>
      </c>
      <c r="E525" s="1772">
        <f t="shared" si="35"/>
        <v>35000</v>
      </c>
      <c r="F525" s="1701">
        <f t="shared" si="37"/>
        <v>0</v>
      </c>
      <c r="G525" s="1703">
        <f t="shared" si="38"/>
        <v>0</v>
      </c>
      <c r="J525" s="1704"/>
    </row>
    <row r="526" spans="2:10">
      <c r="B526" s="1700">
        <v>35100</v>
      </c>
      <c r="C526" s="1696">
        <v>3150</v>
      </c>
      <c r="D526" s="1701">
        <f t="shared" si="36"/>
        <v>36000</v>
      </c>
      <c r="E526" s="1746">
        <v>40000</v>
      </c>
      <c r="F526" s="1701">
        <f t="shared" si="37"/>
        <v>4900</v>
      </c>
      <c r="G526" s="1703">
        <f t="shared" si="38"/>
        <v>0.1396011396011396</v>
      </c>
      <c r="H526" s="1747">
        <v>53</v>
      </c>
      <c r="J526" s="1748">
        <f>AVERAGE(B526:B578)</f>
        <v>37261.339433962261</v>
      </c>
    </row>
    <row r="527" spans="2:10">
      <c r="B527" s="1700">
        <v>35120</v>
      </c>
      <c r="C527" s="1696">
        <v>3150</v>
      </c>
      <c r="D527" s="1701">
        <f t="shared" si="36"/>
        <v>36000</v>
      </c>
      <c r="E527" s="1746">
        <v>40000</v>
      </c>
      <c r="F527" s="1701">
        <f t="shared" si="37"/>
        <v>4880</v>
      </c>
      <c r="G527" s="1703">
        <f t="shared" si="38"/>
        <v>0.13895216400911162</v>
      </c>
      <c r="J527" s="1704"/>
    </row>
    <row r="528" spans="2:10">
      <c r="B528" s="1700">
        <v>35154.519999999997</v>
      </c>
      <c r="C528" s="1696">
        <v>3150</v>
      </c>
      <c r="D528" s="1701">
        <f t="shared" si="36"/>
        <v>36000</v>
      </c>
      <c r="E528" s="1746">
        <v>40000</v>
      </c>
      <c r="F528" s="1701">
        <f t="shared" si="37"/>
        <v>4845.4800000000032</v>
      </c>
      <c r="G528" s="1703">
        <f t="shared" si="38"/>
        <v>0.13783376931330604</v>
      </c>
      <c r="J528" s="1704"/>
    </row>
    <row r="529" spans="2:10">
      <c r="B529" s="1700">
        <v>35191.919999999998</v>
      </c>
      <c r="C529" s="1696">
        <v>3150</v>
      </c>
      <c r="D529" s="1701">
        <f t="shared" si="36"/>
        <v>36000</v>
      </c>
      <c r="E529" s="1746">
        <v>40000</v>
      </c>
      <c r="F529" s="1701">
        <f t="shared" si="37"/>
        <v>4808.0800000000017</v>
      </c>
      <c r="G529" s="1703">
        <f t="shared" si="38"/>
        <v>0.13662454336108976</v>
      </c>
      <c r="J529" s="1704"/>
    </row>
    <row r="530" spans="2:10">
      <c r="B530" s="1700">
        <v>35485</v>
      </c>
      <c r="C530" s="1696">
        <v>3150</v>
      </c>
      <c r="D530" s="1701">
        <f t="shared" si="36"/>
        <v>36000</v>
      </c>
      <c r="E530" s="1746">
        <v>40000</v>
      </c>
      <c r="F530" s="1701">
        <f t="shared" si="37"/>
        <v>4515</v>
      </c>
      <c r="G530" s="1703">
        <f t="shared" si="38"/>
        <v>0.12723686064534309</v>
      </c>
      <c r="J530" s="1704"/>
    </row>
    <row r="531" spans="2:10">
      <c r="B531" s="1700">
        <v>35485</v>
      </c>
      <c r="C531" s="1696">
        <v>3150</v>
      </c>
      <c r="D531" s="1701">
        <f t="shared" si="36"/>
        <v>36000</v>
      </c>
      <c r="E531" s="1746">
        <v>40000</v>
      </c>
      <c r="F531" s="1701">
        <f t="shared" si="37"/>
        <v>4515</v>
      </c>
      <c r="G531" s="1703">
        <f t="shared" si="38"/>
        <v>0.12723686064534309</v>
      </c>
      <c r="J531" s="1704"/>
    </row>
    <row r="532" spans="2:10">
      <c r="B532" s="1700">
        <v>35553</v>
      </c>
      <c r="C532" s="1696">
        <v>3150</v>
      </c>
      <c r="D532" s="1701">
        <f t="shared" si="36"/>
        <v>36000</v>
      </c>
      <c r="E532" s="1746">
        <v>40000</v>
      </c>
      <c r="F532" s="1701">
        <f t="shared" si="37"/>
        <v>4447</v>
      </c>
      <c r="G532" s="1703">
        <f t="shared" si="38"/>
        <v>0.12508086518718534</v>
      </c>
      <c r="J532" s="1704"/>
    </row>
    <row r="533" spans="2:10">
      <c r="B533" s="1700">
        <v>35886</v>
      </c>
      <c r="C533" s="1696">
        <v>3150</v>
      </c>
      <c r="D533" s="1701">
        <f t="shared" si="36"/>
        <v>36000</v>
      </c>
      <c r="E533" s="1746">
        <v>40000</v>
      </c>
      <c r="F533" s="1701">
        <f t="shared" si="37"/>
        <v>4114</v>
      </c>
      <c r="G533" s="1703">
        <f t="shared" si="38"/>
        <v>0.11464080699994426</v>
      </c>
      <c r="J533" s="1704"/>
    </row>
    <row r="534" spans="2:10">
      <c r="B534" s="1700">
        <v>36000</v>
      </c>
      <c r="C534" s="1696">
        <v>3150</v>
      </c>
      <c r="D534" s="1701">
        <f t="shared" si="36"/>
        <v>36000</v>
      </c>
      <c r="E534" s="1746">
        <v>40000</v>
      </c>
      <c r="F534" s="1701">
        <f t="shared" si="37"/>
        <v>4000</v>
      </c>
      <c r="G534" s="1703">
        <f t="shared" si="38"/>
        <v>0.1111111111111111</v>
      </c>
      <c r="J534" s="1704"/>
    </row>
    <row r="535" spans="2:10">
      <c r="B535" s="1700">
        <v>36000</v>
      </c>
      <c r="C535" s="1696">
        <v>3288</v>
      </c>
      <c r="D535" s="1701">
        <f t="shared" si="36"/>
        <v>36000</v>
      </c>
      <c r="E535" s="1746">
        <v>40000</v>
      </c>
      <c r="F535" s="1701">
        <f t="shared" si="37"/>
        <v>4000</v>
      </c>
      <c r="G535" s="1703">
        <f t="shared" si="38"/>
        <v>0.1111111111111111</v>
      </c>
      <c r="J535" s="1704"/>
    </row>
    <row r="536" spans="2:10">
      <c r="B536" s="1700">
        <v>36039</v>
      </c>
      <c r="C536" s="1696">
        <v>3150</v>
      </c>
      <c r="D536" s="1701">
        <f t="shared" si="36"/>
        <v>37000</v>
      </c>
      <c r="E536" s="1746">
        <v>40000</v>
      </c>
      <c r="F536" s="1701">
        <f t="shared" si="37"/>
        <v>3961</v>
      </c>
      <c r="G536" s="1703">
        <f t="shared" si="38"/>
        <v>0.10990871000860179</v>
      </c>
      <c r="J536" s="1704"/>
    </row>
    <row r="537" spans="2:10">
      <c r="B537" s="1700">
        <v>36098</v>
      </c>
      <c r="C537" s="1696">
        <v>3150</v>
      </c>
      <c r="D537" s="1701">
        <f t="shared" si="36"/>
        <v>37000</v>
      </c>
      <c r="E537" s="1746">
        <v>40000</v>
      </c>
      <c r="F537" s="1701">
        <f t="shared" si="37"/>
        <v>3902</v>
      </c>
      <c r="G537" s="1703">
        <f t="shared" si="38"/>
        <v>0.10809463128151144</v>
      </c>
      <c r="J537" s="1704"/>
    </row>
    <row r="538" spans="2:10">
      <c r="B538" s="1700">
        <v>36252</v>
      </c>
      <c r="C538" s="1696">
        <v>3150</v>
      </c>
      <c r="D538" s="1701">
        <f t="shared" si="36"/>
        <v>37000</v>
      </c>
      <c r="E538" s="1746">
        <v>40000</v>
      </c>
      <c r="F538" s="1701">
        <f t="shared" si="37"/>
        <v>3748</v>
      </c>
      <c r="G538" s="1703">
        <f t="shared" si="38"/>
        <v>0.10338739931589981</v>
      </c>
      <c r="J538" s="1704"/>
    </row>
    <row r="539" spans="2:10">
      <c r="B539" s="1700">
        <v>36263</v>
      </c>
      <c r="C539" s="1696">
        <v>3288</v>
      </c>
      <c r="D539" s="1701">
        <f t="shared" si="36"/>
        <v>37000</v>
      </c>
      <c r="E539" s="1746">
        <v>40000</v>
      </c>
      <c r="F539" s="1701">
        <f t="shared" si="37"/>
        <v>3737</v>
      </c>
      <c r="G539" s="1703">
        <f t="shared" si="38"/>
        <v>0.10305269834266333</v>
      </c>
      <c r="J539" s="1704"/>
    </row>
    <row r="540" spans="2:10">
      <c r="B540" s="1700">
        <v>36336</v>
      </c>
      <c r="C540" s="1696">
        <v>3150</v>
      </c>
      <c r="D540" s="1701">
        <f t="shared" si="36"/>
        <v>37000</v>
      </c>
      <c r="E540" s="1746">
        <v>40000</v>
      </c>
      <c r="F540" s="1701">
        <f t="shared" si="37"/>
        <v>3664</v>
      </c>
      <c r="G540" s="1703">
        <f t="shared" si="38"/>
        <v>0.10083663584324086</v>
      </c>
      <c r="J540" s="1704"/>
    </row>
    <row r="541" spans="2:10">
      <c r="B541" s="1700">
        <v>36340</v>
      </c>
      <c r="C541" s="1696">
        <v>3150</v>
      </c>
      <c r="D541" s="1701">
        <f t="shared" si="36"/>
        <v>37000</v>
      </c>
      <c r="E541" s="1746">
        <v>40000</v>
      </c>
      <c r="F541" s="1701">
        <f t="shared" si="37"/>
        <v>3660</v>
      </c>
      <c r="G541" s="1703">
        <f t="shared" si="38"/>
        <v>0.10071546505228399</v>
      </c>
      <c r="J541" s="1704"/>
    </row>
    <row r="542" spans="2:10">
      <c r="B542" s="1700">
        <v>36477</v>
      </c>
      <c r="C542" s="1696">
        <v>3288</v>
      </c>
      <c r="D542" s="1701">
        <f t="shared" si="36"/>
        <v>37000</v>
      </c>
      <c r="E542" s="1746">
        <v>40000</v>
      </c>
      <c r="F542" s="1701">
        <f t="shared" si="37"/>
        <v>3523</v>
      </c>
      <c r="G542" s="1703">
        <f t="shared" si="38"/>
        <v>9.6581407462236479E-2</v>
      </c>
      <c r="J542" s="1704"/>
    </row>
    <row r="543" spans="2:10">
      <c r="B543" s="1700">
        <v>36500</v>
      </c>
      <c r="C543" s="1696">
        <v>3150</v>
      </c>
      <c r="D543" s="1701">
        <f t="shared" si="36"/>
        <v>37000</v>
      </c>
      <c r="E543" s="1746">
        <v>40000</v>
      </c>
      <c r="F543" s="1701">
        <f t="shared" si="37"/>
        <v>3500</v>
      </c>
      <c r="G543" s="1703">
        <f t="shared" si="38"/>
        <v>9.5890410958904104E-2</v>
      </c>
      <c r="J543" s="1704"/>
    </row>
    <row r="544" spans="2:10">
      <c r="B544" s="1700">
        <v>36520</v>
      </c>
      <c r="C544" s="1696">
        <v>3150</v>
      </c>
      <c r="D544" s="1701">
        <f t="shared" si="36"/>
        <v>37000</v>
      </c>
      <c r="E544" s="1746">
        <v>40000</v>
      </c>
      <c r="F544" s="1701">
        <f t="shared" si="37"/>
        <v>3480</v>
      </c>
      <c r="G544" s="1703">
        <f t="shared" si="38"/>
        <v>9.529025191675794E-2</v>
      </c>
      <c r="J544" s="1704"/>
    </row>
    <row r="545" spans="2:10">
      <c r="B545" s="1700">
        <v>36556</v>
      </c>
      <c r="C545" s="1696">
        <v>3150</v>
      </c>
      <c r="D545" s="1701">
        <f t="shared" si="36"/>
        <v>37000</v>
      </c>
      <c r="E545" s="1746">
        <v>40000</v>
      </c>
      <c r="F545" s="1701">
        <f t="shared" si="37"/>
        <v>3444</v>
      </c>
      <c r="G545" s="1703">
        <f t="shared" si="38"/>
        <v>9.421162052741E-2</v>
      </c>
      <c r="J545" s="1704"/>
    </row>
    <row r="546" spans="2:10">
      <c r="B546" s="1700">
        <v>36556</v>
      </c>
      <c r="C546" s="1696">
        <v>3150</v>
      </c>
      <c r="D546" s="1701">
        <f t="shared" si="36"/>
        <v>37000</v>
      </c>
      <c r="E546" s="1746">
        <v>40000</v>
      </c>
      <c r="F546" s="1701">
        <f t="shared" si="37"/>
        <v>3444</v>
      </c>
      <c r="G546" s="1703">
        <f t="shared" si="38"/>
        <v>9.421162052741E-2</v>
      </c>
      <c r="J546" s="1704"/>
    </row>
    <row r="547" spans="2:10">
      <c r="B547" s="1700">
        <v>36556</v>
      </c>
      <c r="C547" s="1696">
        <v>3150</v>
      </c>
      <c r="D547" s="1701">
        <f t="shared" si="36"/>
        <v>37000</v>
      </c>
      <c r="E547" s="1746">
        <v>40000</v>
      </c>
      <c r="F547" s="1701">
        <f t="shared" si="37"/>
        <v>3444</v>
      </c>
      <c r="G547" s="1703">
        <f t="shared" si="38"/>
        <v>9.421162052741E-2</v>
      </c>
      <c r="J547" s="1704"/>
    </row>
    <row r="548" spans="2:10">
      <c r="B548" s="1700">
        <v>36562</v>
      </c>
      <c r="C548" s="1696">
        <v>3150</v>
      </c>
      <c r="D548" s="1701">
        <f t="shared" si="36"/>
        <v>37000</v>
      </c>
      <c r="E548" s="1746">
        <v>40000</v>
      </c>
      <c r="F548" s="1701">
        <f t="shared" si="37"/>
        <v>3438</v>
      </c>
      <c r="G548" s="1703">
        <f t="shared" si="38"/>
        <v>9.4032055139215573E-2</v>
      </c>
      <c r="J548" s="1704"/>
    </row>
    <row r="549" spans="2:10">
      <c r="B549" s="1700">
        <v>36600</v>
      </c>
      <c r="C549" s="1696">
        <v>3150</v>
      </c>
      <c r="D549" s="1701">
        <f t="shared" si="36"/>
        <v>37000</v>
      </c>
      <c r="E549" s="1746">
        <v>40000</v>
      </c>
      <c r="F549" s="1701">
        <f t="shared" si="37"/>
        <v>3400</v>
      </c>
      <c r="G549" s="1703">
        <f t="shared" si="38"/>
        <v>9.2896174863387984E-2</v>
      </c>
      <c r="J549" s="1704"/>
    </row>
    <row r="550" spans="2:10">
      <c r="B550" s="1700">
        <v>36642</v>
      </c>
      <c r="C550" s="1696">
        <v>3150</v>
      </c>
      <c r="D550" s="1701">
        <f t="shared" si="36"/>
        <v>37000</v>
      </c>
      <c r="E550" s="1746">
        <v>40000</v>
      </c>
      <c r="F550" s="1701">
        <f t="shared" si="37"/>
        <v>3358</v>
      </c>
      <c r="G550" s="1703">
        <f t="shared" si="38"/>
        <v>9.1643469242945252E-2</v>
      </c>
      <c r="J550" s="1704"/>
    </row>
    <row r="551" spans="2:10">
      <c r="B551" s="1700">
        <v>36674</v>
      </c>
      <c r="C551" s="1696">
        <v>3150</v>
      </c>
      <c r="D551" s="1701">
        <f t="shared" si="36"/>
        <v>37000</v>
      </c>
      <c r="E551" s="1746">
        <v>40000</v>
      </c>
      <c r="F551" s="1701">
        <f t="shared" si="37"/>
        <v>3326</v>
      </c>
      <c r="G551" s="1703">
        <f t="shared" si="38"/>
        <v>9.0690952718547199E-2</v>
      </c>
      <c r="J551" s="1704"/>
    </row>
    <row r="552" spans="2:10">
      <c r="B552" s="1700">
        <v>36736</v>
      </c>
      <c r="C552" s="1696">
        <v>3150</v>
      </c>
      <c r="D552" s="1701">
        <f t="shared" si="36"/>
        <v>37000</v>
      </c>
      <c r="E552" s="1746">
        <v>40000</v>
      </c>
      <c r="F552" s="1701">
        <f t="shared" si="37"/>
        <v>3264</v>
      </c>
      <c r="G552" s="1703">
        <f t="shared" si="38"/>
        <v>8.885017421602788E-2</v>
      </c>
      <c r="J552" s="1704"/>
    </row>
    <row r="553" spans="2:10">
      <c r="B553" s="1700">
        <v>36764.400000000001</v>
      </c>
      <c r="C553" s="1696">
        <v>3150</v>
      </c>
      <c r="D553" s="1701">
        <f t="shared" si="36"/>
        <v>37000</v>
      </c>
      <c r="E553" s="1746">
        <v>40000</v>
      </c>
      <c r="F553" s="1701">
        <f t="shared" si="37"/>
        <v>3235.5999999999985</v>
      </c>
      <c r="G553" s="1703">
        <f t="shared" si="38"/>
        <v>8.800905223531455E-2</v>
      </c>
      <c r="J553" s="1704"/>
    </row>
    <row r="554" spans="2:10">
      <c r="B554" s="1700">
        <v>36814</v>
      </c>
      <c r="C554" s="1696">
        <v>3150</v>
      </c>
      <c r="D554" s="1701">
        <f t="shared" si="36"/>
        <v>37000</v>
      </c>
      <c r="E554" s="1746">
        <v>40000</v>
      </c>
      <c r="F554" s="1701">
        <f t="shared" si="37"/>
        <v>3186</v>
      </c>
      <c r="G554" s="1703">
        <f t="shared" si="38"/>
        <v>8.6543162927147282E-2</v>
      </c>
      <c r="J554" s="1704"/>
    </row>
    <row r="555" spans="2:10">
      <c r="B555" s="1700">
        <v>37000</v>
      </c>
      <c r="C555" s="1696">
        <v>3150</v>
      </c>
      <c r="D555" s="1701">
        <f t="shared" si="36"/>
        <v>37000</v>
      </c>
      <c r="E555" s="1746">
        <v>40000</v>
      </c>
      <c r="F555" s="1701">
        <f t="shared" si="37"/>
        <v>3000</v>
      </c>
      <c r="G555" s="1703">
        <f t="shared" si="38"/>
        <v>8.1081081081081086E-2</v>
      </c>
      <c r="J555" s="1704"/>
    </row>
    <row r="556" spans="2:10">
      <c r="B556" s="1700">
        <v>37002</v>
      </c>
      <c r="C556" s="1696">
        <v>3150</v>
      </c>
      <c r="D556" s="1701">
        <f t="shared" si="36"/>
        <v>38000</v>
      </c>
      <c r="E556" s="1746">
        <v>40000</v>
      </c>
      <c r="F556" s="1701">
        <f t="shared" si="37"/>
        <v>2998</v>
      </c>
      <c r="G556" s="1703">
        <f t="shared" si="38"/>
        <v>8.1022647424463537E-2</v>
      </c>
      <c r="J556" s="1704"/>
    </row>
    <row r="557" spans="2:10">
      <c r="B557" s="1700">
        <v>37047</v>
      </c>
      <c r="C557" s="1696">
        <v>3150</v>
      </c>
      <c r="D557" s="1701">
        <f t="shared" si="36"/>
        <v>38000</v>
      </c>
      <c r="E557" s="1746">
        <v>40000</v>
      </c>
      <c r="F557" s="1701">
        <f t="shared" si="37"/>
        <v>2953</v>
      </c>
      <c r="G557" s="1703">
        <f t="shared" si="38"/>
        <v>7.9709558128863336E-2</v>
      </c>
      <c r="J557" s="1704"/>
    </row>
    <row r="558" spans="2:10">
      <c r="B558" s="1700">
        <v>37087</v>
      </c>
      <c r="C558" s="1696">
        <v>3150</v>
      </c>
      <c r="D558" s="1701">
        <f t="shared" si="36"/>
        <v>38000</v>
      </c>
      <c r="E558" s="1746">
        <v>40000</v>
      </c>
      <c r="F558" s="1701">
        <f t="shared" si="37"/>
        <v>2913</v>
      </c>
      <c r="G558" s="1703">
        <f t="shared" si="38"/>
        <v>7.8545042737347318E-2</v>
      </c>
      <c r="J558" s="1704"/>
    </row>
    <row r="559" spans="2:10">
      <c r="B559" s="1700">
        <v>37100</v>
      </c>
      <c r="C559" s="1696">
        <v>3150</v>
      </c>
      <c r="D559" s="1701">
        <f t="shared" si="36"/>
        <v>38000</v>
      </c>
      <c r="E559" s="1746">
        <v>40000</v>
      </c>
      <c r="F559" s="1701">
        <f t="shared" si="37"/>
        <v>2900</v>
      </c>
      <c r="G559" s="1703">
        <f t="shared" si="38"/>
        <v>7.8167115902964962E-2</v>
      </c>
      <c r="J559" s="1704"/>
    </row>
    <row r="560" spans="2:10">
      <c r="B560" s="1700">
        <v>37500</v>
      </c>
      <c r="C560" s="1696">
        <v>3288</v>
      </c>
      <c r="D560" s="1701">
        <f t="shared" si="36"/>
        <v>38000</v>
      </c>
      <c r="E560" s="1746">
        <f t="shared" ref="E560:E578" si="39">IF(B560&lt;=40000,40000)</f>
        <v>40000</v>
      </c>
      <c r="F560" s="1701">
        <f t="shared" si="37"/>
        <v>2500</v>
      </c>
      <c r="G560" s="1703">
        <f t="shared" si="38"/>
        <v>6.6666666666666666E-2</v>
      </c>
      <c r="J560" s="1704"/>
    </row>
    <row r="561" spans="2:10">
      <c r="B561" s="1700">
        <v>37785</v>
      </c>
      <c r="C561" s="1696">
        <v>3150</v>
      </c>
      <c r="D561" s="1701">
        <f t="shared" si="36"/>
        <v>38000</v>
      </c>
      <c r="E561" s="1746">
        <f t="shared" si="39"/>
        <v>40000</v>
      </c>
      <c r="F561" s="1701">
        <f t="shared" si="37"/>
        <v>2215</v>
      </c>
      <c r="G561" s="1703">
        <f t="shared" si="38"/>
        <v>5.86211459573905E-2</v>
      </c>
      <c r="J561" s="1704"/>
    </row>
    <row r="562" spans="2:10">
      <c r="B562" s="1700">
        <v>37800</v>
      </c>
      <c r="C562" s="1696">
        <v>3150</v>
      </c>
      <c r="D562" s="1701">
        <f t="shared" si="36"/>
        <v>38000</v>
      </c>
      <c r="E562" s="1746">
        <f t="shared" si="39"/>
        <v>40000</v>
      </c>
      <c r="F562" s="1701">
        <f t="shared" si="37"/>
        <v>2200</v>
      </c>
      <c r="G562" s="1703">
        <f t="shared" si="38"/>
        <v>5.8201058201058198E-2</v>
      </c>
      <c r="J562" s="1704"/>
    </row>
    <row r="563" spans="2:10">
      <c r="B563" s="1700">
        <v>37842</v>
      </c>
      <c r="C563" s="1696">
        <v>3150</v>
      </c>
      <c r="D563" s="1701">
        <f t="shared" si="36"/>
        <v>38000</v>
      </c>
      <c r="E563" s="1746">
        <f t="shared" si="39"/>
        <v>40000</v>
      </c>
      <c r="F563" s="1701">
        <f t="shared" si="37"/>
        <v>2158</v>
      </c>
      <c r="G563" s="1703">
        <f t="shared" si="38"/>
        <v>5.70265842185931E-2</v>
      </c>
      <c r="J563" s="1704"/>
    </row>
    <row r="564" spans="2:10">
      <c r="B564" s="1700">
        <v>38000.15</v>
      </c>
      <c r="C564" s="1696">
        <v>3150</v>
      </c>
      <c r="D564" s="1701">
        <f t="shared" si="36"/>
        <v>39000</v>
      </c>
      <c r="E564" s="1746">
        <f t="shared" si="39"/>
        <v>40000</v>
      </c>
      <c r="F564" s="1701">
        <f t="shared" si="37"/>
        <v>1999.8499999999985</v>
      </c>
      <c r="G564" s="1703">
        <f t="shared" si="38"/>
        <v>5.2627423839116387E-2</v>
      </c>
      <c r="J564" s="1704"/>
    </row>
    <row r="565" spans="2:10">
      <c r="B565" s="1700">
        <v>38248</v>
      </c>
      <c r="C565" s="1696">
        <v>3150</v>
      </c>
      <c r="D565" s="1701">
        <f t="shared" si="36"/>
        <v>39000</v>
      </c>
      <c r="E565" s="1746">
        <f t="shared" si="39"/>
        <v>40000</v>
      </c>
      <c r="F565" s="1701">
        <f t="shared" si="37"/>
        <v>1752</v>
      </c>
      <c r="G565" s="1703">
        <f t="shared" si="38"/>
        <v>4.580631667015269E-2</v>
      </c>
      <c r="J565" s="1704"/>
    </row>
    <row r="566" spans="2:10">
      <c r="B566" s="1700">
        <v>38532</v>
      </c>
      <c r="C566" s="1696">
        <v>3150</v>
      </c>
      <c r="D566" s="1701">
        <f t="shared" si="36"/>
        <v>39000</v>
      </c>
      <c r="E566" s="1746">
        <f t="shared" si="39"/>
        <v>40000</v>
      </c>
      <c r="F566" s="1701">
        <f t="shared" si="37"/>
        <v>1468</v>
      </c>
      <c r="G566" s="1703">
        <f t="shared" si="38"/>
        <v>3.8098204090106925E-2</v>
      </c>
      <c r="J566" s="1704"/>
    </row>
    <row r="567" spans="2:10">
      <c r="B567" s="1700">
        <v>38728</v>
      </c>
      <c r="C567" s="1696">
        <v>3150</v>
      </c>
      <c r="D567" s="1701">
        <f t="shared" si="36"/>
        <v>39000</v>
      </c>
      <c r="E567" s="1746">
        <f t="shared" si="39"/>
        <v>40000</v>
      </c>
      <c r="F567" s="1701">
        <f t="shared" si="37"/>
        <v>1272</v>
      </c>
      <c r="G567" s="1703">
        <f t="shared" si="38"/>
        <v>3.2844453625284036E-2</v>
      </c>
      <c r="J567" s="1704"/>
    </row>
    <row r="568" spans="2:10">
      <c r="B568" s="1700">
        <v>38894</v>
      </c>
      <c r="C568" s="1696">
        <v>3150</v>
      </c>
      <c r="D568" s="1701">
        <f t="shared" si="36"/>
        <v>39000</v>
      </c>
      <c r="E568" s="1746">
        <f t="shared" si="39"/>
        <v>40000</v>
      </c>
      <c r="F568" s="1701">
        <f t="shared" si="37"/>
        <v>1106</v>
      </c>
      <c r="G568" s="1703">
        <f t="shared" si="38"/>
        <v>2.8436262662621482E-2</v>
      </c>
      <c r="J568" s="1704"/>
    </row>
    <row r="569" spans="2:10">
      <c r="B569" s="1700">
        <v>39480</v>
      </c>
      <c r="C569" s="1696">
        <v>3150</v>
      </c>
      <c r="D569" s="1701">
        <f t="shared" si="36"/>
        <v>40000</v>
      </c>
      <c r="E569" s="1746">
        <f t="shared" si="39"/>
        <v>40000</v>
      </c>
      <c r="F569" s="1701">
        <f t="shared" si="37"/>
        <v>520</v>
      </c>
      <c r="G569" s="1703">
        <f t="shared" si="38"/>
        <v>1.3171225937183385E-2</v>
      </c>
      <c r="J569" s="1704"/>
    </row>
    <row r="570" spans="2:10">
      <c r="B570" s="1700">
        <v>39600</v>
      </c>
      <c r="C570" s="1696">
        <v>3288</v>
      </c>
      <c r="D570" s="1701">
        <f t="shared" si="36"/>
        <v>40000</v>
      </c>
      <c r="E570" s="1746">
        <f t="shared" si="39"/>
        <v>40000</v>
      </c>
      <c r="F570" s="1701">
        <f t="shared" si="37"/>
        <v>400</v>
      </c>
      <c r="G570" s="1703">
        <f t="shared" si="38"/>
        <v>1.0101010101010102E-2</v>
      </c>
      <c r="J570" s="1704"/>
    </row>
    <row r="571" spans="2:10">
      <c r="B571" s="1700">
        <v>39644</v>
      </c>
      <c r="C571" s="1696">
        <v>3150</v>
      </c>
      <c r="D571" s="1701">
        <f t="shared" si="36"/>
        <v>40000</v>
      </c>
      <c r="E571" s="1746">
        <f t="shared" si="39"/>
        <v>40000</v>
      </c>
      <c r="F571" s="1701">
        <f t="shared" si="37"/>
        <v>356</v>
      </c>
      <c r="G571" s="1703">
        <f t="shared" si="38"/>
        <v>8.9799212995661393E-3</v>
      </c>
      <c r="J571" s="1704"/>
    </row>
    <row r="572" spans="2:10">
      <c r="B572" s="1700">
        <v>39648</v>
      </c>
      <c r="C572" s="1696">
        <v>3150</v>
      </c>
      <c r="D572" s="1701">
        <f t="shared" si="36"/>
        <v>40000</v>
      </c>
      <c r="E572" s="1746">
        <f t="shared" si="39"/>
        <v>40000</v>
      </c>
      <c r="F572" s="1701">
        <f t="shared" si="37"/>
        <v>352</v>
      </c>
      <c r="G572" s="1703">
        <f t="shared" si="38"/>
        <v>8.8781275221953195E-3</v>
      </c>
      <c r="J572" s="1704"/>
    </row>
    <row r="573" spans="2:10">
      <c r="B573" s="1700">
        <v>39653</v>
      </c>
      <c r="C573" s="1696">
        <v>3288</v>
      </c>
      <c r="D573" s="1701">
        <f t="shared" si="36"/>
        <v>40000</v>
      </c>
      <c r="E573" s="1746">
        <f t="shared" si="39"/>
        <v>40000</v>
      </c>
      <c r="F573" s="1701">
        <f t="shared" si="37"/>
        <v>347</v>
      </c>
      <c r="G573" s="1703">
        <f t="shared" si="38"/>
        <v>8.7509141805159757E-3</v>
      </c>
      <c r="J573" s="1704"/>
    </row>
    <row r="574" spans="2:10">
      <c r="B574" s="1700">
        <v>40000</v>
      </c>
      <c r="C574" s="1696">
        <v>3150</v>
      </c>
      <c r="D574" s="1701">
        <f t="shared" si="36"/>
        <v>40000</v>
      </c>
      <c r="E574" s="1746">
        <f t="shared" si="39"/>
        <v>40000</v>
      </c>
      <c r="F574" s="1701">
        <f t="shared" si="37"/>
        <v>0</v>
      </c>
      <c r="G574" s="1703">
        <f t="shared" si="38"/>
        <v>0</v>
      </c>
      <c r="J574" s="1704"/>
    </row>
    <row r="575" spans="2:10">
      <c r="B575" s="1700">
        <v>40000</v>
      </c>
      <c r="C575" s="1696">
        <v>3150</v>
      </c>
      <c r="D575" s="1701">
        <f t="shared" si="36"/>
        <v>40000</v>
      </c>
      <c r="E575" s="1746">
        <f t="shared" si="39"/>
        <v>40000</v>
      </c>
      <c r="F575" s="1701">
        <f t="shared" si="37"/>
        <v>0</v>
      </c>
      <c r="G575" s="1703">
        <f t="shared" si="38"/>
        <v>0</v>
      </c>
      <c r="J575" s="1704"/>
    </row>
    <row r="576" spans="2:10">
      <c r="B576" s="1700">
        <v>40000</v>
      </c>
      <c r="C576" s="1696">
        <v>3150</v>
      </c>
      <c r="D576" s="1701">
        <f t="shared" si="36"/>
        <v>40000</v>
      </c>
      <c r="E576" s="1746">
        <f t="shared" si="39"/>
        <v>40000</v>
      </c>
      <c r="F576" s="1701">
        <f t="shared" si="37"/>
        <v>0</v>
      </c>
      <c r="G576" s="1703">
        <f t="shared" si="38"/>
        <v>0</v>
      </c>
      <c r="J576" s="1704"/>
    </row>
    <row r="577" spans="2:10">
      <c r="B577" s="1700">
        <v>40000</v>
      </c>
      <c r="C577" s="1696">
        <v>3150</v>
      </c>
      <c r="D577" s="1701">
        <f t="shared" si="36"/>
        <v>40000</v>
      </c>
      <c r="E577" s="1746">
        <f t="shared" si="39"/>
        <v>40000</v>
      </c>
      <c r="F577" s="1701">
        <f t="shared" si="37"/>
        <v>0</v>
      </c>
      <c r="G577" s="1703">
        <f t="shared" si="38"/>
        <v>0</v>
      </c>
      <c r="J577" s="1704"/>
    </row>
    <row r="578" spans="2:10">
      <c r="B578" s="1700">
        <v>40000</v>
      </c>
      <c r="C578" s="1696">
        <v>3150</v>
      </c>
      <c r="D578" s="1701">
        <f t="shared" ref="D578:D620" si="40">ROUNDUP(B578,-3)</f>
        <v>40000</v>
      </c>
      <c r="E578" s="1746">
        <f t="shared" si="39"/>
        <v>40000</v>
      </c>
      <c r="F578" s="1701">
        <f t="shared" ref="F578:F620" si="41">E578-B578</f>
        <v>0</v>
      </c>
      <c r="G578" s="1703">
        <f t="shared" ref="G578:G620" si="42">F578/B578</f>
        <v>0</v>
      </c>
      <c r="J578" s="1704"/>
    </row>
    <row r="579" spans="2:10">
      <c r="B579" s="1700">
        <v>40016</v>
      </c>
      <c r="C579" s="1696">
        <v>3288</v>
      </c>
      <c r="D579" s="1701">
        <f t="shared" si="40"/>
        <v>41000</v>
      </c>
      <c r="E579" s="1773">
        <f t="shared" ref="E579:E605" si="43">IF(B579&lt;=45000,45000)</f>
        <v>45000</v>
      </c>
      <c r="F579" s="1701">
        <f t="shared" si="41"/>
        <v>4984</v>
      </c>
      <c r="G579" s="1703">
        <f t="shared" si="42"/>
        <v>0.12455017992802879</v>
      </c>
      <c r="H579" s="1747">
        <v>27</v>
      </c>
      <c r="J579" s="1748">
        <f>AVERAGE(B579:B605)</f>
        <v>42088.912962962961</v>
      </c>
    </row>
    <row r="580" spans="2:10">
      <c r="B580" s="1700">
        <v>40150</v>
      </c>
      <c r="C580" s="1696">
        <v>3150</v>
      </c>
      <c r="D580" s="1701">
        <f t="shared" si="40"/>
        <v>41000</v>
      </c>
      <c r="E580" s="1773">
        <f t="shared" si="43"/>
        <v>45000</v>
      </c>
      <c r="F580" s="1701">
        <f t="shared" si="41"/>
        <v>4850</v>
      </c>
      <c r="G580" s="1703">
        <f t="shared" si="42"/>
        <v>0.12079701120797011</v>
      </c>
      <c r="J580" s="1704"/>
    </row>
    <row r="581" spans="2:10">
      <c r="B581" s="1700">
        <v>40240</v>
      </c>
      <c r="C581" s="1696">
        <v>3150</v>
      </c>
      <c r="D581" s="1701">
        <f t="shared" si="40"/>
        <v>41000</v>
      </c>
      <c r="E581" s="1773">
        <f t="shared" si="43"/>
        <v>45000</v>
      </c>
      <c r="F581" s="1701">
        <f t="shared" si="41"/>
        <v>4760</v>
      </c>
      <c r="G581" s="1703">
        <f t="shared" si="42"/>
        <v>0.11829025844930417</v>
      </c>
      <c r="J581" s="1704"/>
    </row>
    <row r="582" spans="2:10">
      <c r="B582" s="1700">
        <v>40600</v>
      </c>
      <c r="C582" s="1696">
        <v>3150</v>
      </c>
      <c r="D582" s="1701">
        <f t="shared" si="40"/>
        <v>41000</v>
      </c>
      <c r="E582" s="1773">
        <f t="shared" si="43"/>
        <v>45000</v>
      </c>
      <c r="F582" s="1701">
        <f t="shared" si="41"/>
        <v>4400</v>
      </c>
      <c r="G582" s="1703">
        <f t="shared" si="42"/>
        <v>0.10837438423645321</v>
      </c>
      <c r="J582" s="1704"/>
    </row>
    <row r="583" spans="2:10">
      <c r="B583" s="1700">
        <v>40674</v>
      </c>
      <c r="C583" s="1696">
        <v>3150</v>
      </c>
      <c r="D583" s="1701">
        <f t="shared" si="40"/>
        <v>41000</v>
      </c>
      <c r="E583" s="1773">
        <f t="shared" si="43"/>
        <v>45000</v>
      </c>
      <c r="F583" s="1701">
        <f t="shared" si="41"/>
        <v>4326</v>
      </c>
      <c r="G583" s="1703">
        <f t="shared" si="42"/>
        <v>0.10635786989231449</v>
      </c>
      <c r="J583" s="1704"/>
    </row>
    <row r="584" spans="2:10">
      <c r="B584" s="1700">
        <v>40818</v>
      </c>
      <c r="C584" s="1696">
        <v>3150</v>
      </c>
      <c r="D584" s="1701">
        <f t="shared" si="40"/>
        <v>41000</v>
      </c>
      <c r="E584" s="1773">
        <f t="shared" si="43"/>
        <v>45000</v>
      </c>
      <c r="F584" s="1701">
        <f t="shared" si="41"/>
        <v>4182</v>
      </c>
      <c r="G584" s="1703">
        <f t="shared" si="42"/>
        <v>0.10245479935322652</v>
      </c>
      <c r="J584" s="1704"/>
    </row>
    <row r="585" spans="2:10">
      <c r="B585" s="1700">
        <v>40836</v>
      </c>
      <c r="C585" s="1696">
        <v>3150</v>
      </c>
      <c r="D585" s="1701">
        <f t="shared" si="40"/>
        <v>41000</v>
      </c>
      <c r="E585" s="1773">
        <f t="shared" si="43"/>
        <v>45000</v>
      </c>
      <c r="F585" s="1701">
        <f t="shared" si="41"/>
        <v>4164</v>
      </c>
      <c r="G585" s="1703">
        <f t="shared" si="42"/>
        <v>0.10196885101381134</v>
      </c>
      <c r="J585" s="1704"/>
    </row>
    <row r="586" spans="2:10">
      <c r="B586" s="1700">
        <v>41000</v>
      </c>
      <c r="C586" s="1696">
        <v>3150</v>
      </c>
      <c r="D586" s="1701">
        <f t="shared" si="40"/>
        <v>41000</v>
      </c>
      <c r="E586" s="1773">
        <f t="shared" si="43"/>
        <v>45000</v>
      </c>
      <c r="F586" s="1701">
        <f t="shared" si="41"/>
        <v>4000</v>
      </c>
      <c r="G586" s="1703">
        <f t="shared" si="42"/>
        <v>9.7560975609756101E-2</v>
      </c>
      <c r="J586" s="1704"/>
    </row>
    <row r="587" spans="2:10">
      <c r="B587" s="1700">
        <v>41000</v>
      </c>
      <c r="C587" s="1696">
        <v>3150</v>
      </c>
      <c r="D587" s="1701">
        <f t="shared" si="40"/>
        <v>41000</v>
      </c>
      <c r="E587" s="1773">
        <f t="shared" si="43"/>
        <v>45000</v>
      </c>
      <c r="F587" s="1701">
        <f t="shared" si="41"/>
        <v>4000</v>
      </c>
      <c r="G587" s="1703">
        <f t="shared" si="42"/>
        <v>9.7560975609756101E-2</v>
      </c>
      <c r="J587" s="1704"/>
    </row>
    <row r="588" spans="2:10">
      <c r="B588" s="1700">
        <v>41000</v>
      </c>
      <c r="C588" s="1696">
        <v>3150</v>
      </c>
      <c r="D588" s="1701">
        <f t="shared" si="40"/>
        <v>41000</v>
      </c>
      <c r="E588" s="1773">
        <f t="shared" si="43"/>
        <v>45000</v>
      </c>
      <c r="F588" s="1701">
        <f t="shared" si="41"/>
        <v>4000</v>
      </c>
      <c r="G588" s="1703">
        <f t="shared" si="42"/>
        <v>9.7560975609756101E-2</v>
      </c>
      <c r="J588" s="1704"/>
    </row>
    <row r="589" spans="2:10">
      <c r="B589" s="1700">
        <v>41060</v>
      </c>
      <c r="C589" s="1696">
        <v>3150</v>
      </c>
      <c r="D589" s="1701">
        <f t="shared" si="40"/>
        <v>42000</v>
      </c>
      <c r="E589" s="1773">
        <f t="shared" si="43"/>
        <v>45000</v>
      </c>
      <c r="F589" s="1701">
        <f t="shared" si="41"/>
        <v>3940</v>
      </c>
      <c r="G589" s="1703">
        <f t="shared" si="42"/>
        <v>9.5957135898684848E-2</v>
      </c>
      <c r="J589" s="1704"/>
    </row>
    <row r="590" spans="2:10">
      <c r="B590" s="1700">
        <v>41240</v>
      </c>
      <c r="C590" s="1696">
        <v>3150</v>
      </c>
      <c r="D590" s="1701">
        <f t="shared" si="40"/>
        <v>42000</v>
      </c>
      <c r="E590" s="1773">
        <f t="shared" si="43"/>
        <v>45000</v>
      </c>
      <c r="F590" s="1701">
        <f t="shared" si="41"/>
        <v>3760</v>
      </c>
      <c r="G590" s="1703">
        <f t="shared" si="42"/>
        <v>9.1173617846750724E-2</v>
      </c>
      <c r="J590" s="1704"/>
    </row>
    <row r="591" spans="2:10">
      <c r="B591" s="1700">
        <v>41500</v>
      </c>
      <c r="C591" s="1696">
        <v>3150</v>
      </c>
      <c r="D591" s="1701">
        <f t="shared" si="40"/>
        <v>42000</v>
      </c>
      <c r="E591" s="1773">
        <f t="shared" si="43"/>
        <v>45000</v>
      </c>
      <c r="F591" s="1701">
        <f t="shared" si="41"/>
        <v>3500</v>
      </c>
      <c r="G591" s="1703">
        <f t="shared" si="42"/>
        <v>8.4337349397590355E-2</v>
      </c>
      <c r="J591" s="1704"/>
    </row>
    <row r="592" spans="2:10">
      <c r="B592" s="1700">
        <v>41800</v>
      </c>
      <c r="C592" s="1696">
        <v>3150</v>
      </c>
      <c r="D592" s="1701">
        <f t="shared" si="40"/>
        <v>42000</v>
      </c>
      <c r="E592" s="1773">
        <f t="shared" si="43"/>
        <v>45000</v>
      </c>
      <c r="F592" s="1701">
        <f t="shared" si="41"/>
        <v>3200</v>
      </c>
      <c r="G592" s="1703">
        <f t="shared" si="42"/>
        <v>7.6555023923444973E-2</v>
      </c>
      <c r="J592" s="1704"/>
    </row>
    <row r="593" spans="2:10">
      <c r="B593" s="1700">
        <v>42000</v>
      </c>
      <c r="C593" s="1696">
        <v>3150</v>
      </c>
      <c r="D593" s="1701">
        <f t="shared" si="40"/>
        <v>42000</v>
      </c>
      <c r="E593" s="1773">
        <f t="shared" si="43"/>
        <v>45000</v>
      </c>
      <c r="F593" s="1701">
        <f t="shared" si="41"/>
        <v>3000</v>
      </c>
      <c r="G593" s="1703">
        <f t="shared" si="42"/>
        <v>7.1428571428571425E-2</v>
      </c>
      <c r="J593" s="1704"/>
    </row>
    <row r="594" spans="2:10">
      <c r="B594" s="1700">
        <v>42100</v>
      </c>
      <c r="C594" s="1696">
        <v>3150</v>
      </c>
      <c r="D594" s="1701">
        <f t="shared" si="40"/>
        <v>43000</v>
      </c>
      <c r="E594" s="1773">
        <f t="shared" si="43"/>
        <v>45000</v>
      </c>
      <c r="F594" s="1701">
        <f t="shared" si="41"/>
        <v>2900</v>
      </c>
      <c r="G594" s="1703">
        <f t="shared" si="42"/>
        <v>6.8883610451306407E-2</v>
      </c>
      <c r="J594" s="1704"/>
    </row>
    <row r="595" spans="2:10">
      <c r="B595" s="1700">
        <v>42365</v>
      </c>
      <c r="C595" s="1696">
        <v>3150</v>
      </c>
      <c r="D595" s="1701">
        <f t="shared" si="40"/>
        <v>43000</v>
      </c>
      <c r="E595" s="1773">
        <f t="shared" si="43"/>
        <v>45000</v>
      </c>
      <c r="F595" s="1701">
        <f t="shared" si="41"/>
        <v>2635</v>
      </c>
      <c r="G595" s="1703">
        <f t="shared" si="42"/>
        <v>6.2197568747787091E-2</v>
      </c>
      <c r="J595" s="1704"/>
    </row>
    <row r="596" spans="2:10">
      <c r="B596" s="1700">
        <v>42500</v>
      </c>
      <c r="C596" s="1696">
        <v>3150</v>
      </c>
      <c r="D596" s="1701">
        <f t="shared" si="40"/>
        <v>43000</v>
      </c>
      <c r="E596" s="1773">
        <f t="shared" si="43"/>
        <v>45000</v>
      </c>
      <c r="F596" s="1701">
        <f t="shared" si="41"/>
        <v>2500</v>
      </c>
      <c r="G596" s="1703">
        <f t="shared" si="42"/>
        <v>5.8823529411764705E-2</v>
      </c>
      <c r="J596" s="1704"/>
    </row>
    <row r="597" spans="2:10">
      <c r="B597" s="1700">
        <v>42740</v>
      </c>
      <c r="C597" s="1696">
        <v>3150</v>
      </c>
      <c r="D597" s="1701">
        <f t="shared" si="40"/>
        <v>43000</v>
      </c>
      <c r="E597" s="1773">
        <f t="shared" si="43"/>
        <v>45000</v>
      </c>
      <c r="F597" s="1701">
        <f t="shared" si="41"/>
        <v>2260</v>
      </c>
      <c r="G597" s="1703">
        <f t="shared" si="42"/>
        <v>5.2877866167524566E-2</v>
      </c>
      <c r="J597" s="1704"/>
    </row>
    <row r="598" spans="2:10">
      <c r="B598" s="1700">
        <v>43000.65</v>
      </c>
      <c r="C598" s="1696">
        <v>3150</v>
      </c>
      <c r="D598" s="1701">
        <f t="shared" si="40"/>
        <v>44000</v>
      </c>
      <c r="E598" s="1773">
        <f t="shared" si="43"/>
        <v>45000</v>
      </c>
      <c r="F598" s="1701">
        <f t="shared" si="41"/>
        <v>1999.3499999999985</v>
      </c>
      <c r="G598" s="1703">
        <f t="shared" si="42"/>
        <v>4.6495808784285782E-2</v>
      </c>
      <c r="J598" s="1704"/>
    </row>
    <row r="599" spans="2:10">
      <c r="B599" s="1700">
        <v>43200</v>
      </c>
      <c r="C599" s="1696">
        <v>3150</v>
      </c>
      <c r="D599" s="1701">
        <f t="shared" si="40"/>
        <v>44000</v>
      </c>
      <c r="E599" s="1773">
        <f t="shared" si="43"/>
        <v>45000</v>
      </c>
      <c r="F599" s="1701">
        <f t="shared" si="41"/>
        <v>1800</v>
      </c>
      <c r="G599" s="1703">
        <f t="shared" si="42"/>
        <v>4.1666666666666664E-2</v>
      </c>
      <c r="J599" s="1704"/>
    </row>
    <row r="600" spans="2:10">
      <c r="B600" s="1700">
        <v>43491</v>
      </c>
      <c r="C600" s="1696">
        <v>3150</v>
      </c>
      <c r="D600" s="1701">
        <f t="shared" si="40"/>
        <v>44000</v>
      </c>
      <c r="E600" s="1773">
        <f t="shared" si="43"/>
        <v>45000</v>
      </c>
      <c r="F600" s="1701">
        <f t="shared" si="41"/>
        <v>1509</v>
      </c>
      <c r="G600" s="1703">
        <f t="shared" si="42"/>
        <v>3.4696833827688491E-2</v>
      </c>
      <c r="J600" s="1704"/>
    </row>
    <row r="601" spans="2:10">
      <c r="B601" s="1700">
        <v>43810</v>
      </c>
      <c r="C601" s="1696">
        <v>3150</v>
      </c>
      <c r="D601" s="1701">
        <f t="shared" si="40"/>
        <v>44000</v>
      </c>
      <c r="E601" s="1773">
        <f t="shared" si="43"/>
        <v>45000</v>
      </c>
      <c r="F601" s="1701">
        <f t="shared" si="41"/>
        <v>1190</v>
      </c>
      <c r="G601" s="1703">
        <f t="shared" si="42"/>
        <v>2.7162748230997489E-2</v>
      </c>
      <c r="J601" s="1704"/>
    </row>
    <row r="602" spans="2:10">
      <c r="B602" s="1700">
        <v>44460</v>
      </c>
      <c r="C602" s="1696">
        <v>3150</v>
      </c>
      <c r="D602" s="1701">
        <f t="shared" si="40"/>
        <v>45000</v>
      </c>
      <c r="E602" s="1773">
        <f t="shared" si="43"/>
        <v>45000</v>
      </c>
      <c r="F602" s="1701">
        <f t="shared" si="41"/>
        <v>540</v>
      </c>
      <c r="G602" s="1703">
        <f t="shared" si="42"/>
        <v>1.2145748987854251E-2</v>
      </c>
      <c r="J602" s="1704"/>
    </row>
    <row r="603" spans="2:10">
      <c r="B603" s="1700">
        <v>44800</v>
      </c>
      <c r="C603" s="1696">
        <v>3150</v>
      </c>
      <c r="D603" s="1701">
        <f t="shared" si="40"/>
        <v>45000</v>
      </c>
      <c r="E603" s="1773">
        <f t="shared" si="43"/>
        <v>45000</v>
      </c>
      <c r="F603" s="1701">
        <f t="shared" si="41"/>
        <v>200</v>
      </c>
      <c r="G603" s="1703">
        <f t="shared" si="42"/>
        <v>4.464285714285714E-3</v>
      </c>
      <c r="J603" s="1704"/>
    </row>
    <row r="604" spans="2:10">
      <c r="B604" s="1700">
        <v>45000</v>
      </c>
      <c r="C604" s="1696">
        <v>3150</v>
      </c>
      <c r="D604" s="1701">
        <f t="shared" si="40"/>
        <v>45000</v>
      </c>
      <c r="E604" s="1773">
        <f t="shared" si="43"/>
        <v>45000</v>
      </c>
      <c r="F604" s="1701">
        <f t="shared" si="41"/>
        <v>0</v>
      </c>
      <c r="G604" s="1703">
        <f t="shared" si="42"/>
        <v>0</v>
      </c>
      <c r="J604" s="1704"/>
    </row>
    <row r="605" spans="2:10">
      <c r="B605" s="1700">
        <v>45000</v>
      </c>
      <c r="C605" s="1696">
        <v>3150</v>
      </c>
      <c r="D605" s="1701">
        <f t="shared" si="40"/>
        <v>45000</v>
      </c>
      <c r="E605" s="1773">
        <f t="shared" si="43"/>
        <v>45000</v>
      </c>
      <c r="F605" s="1701">
        <f t="shared" si="41"/>
        <v>0</v>
      </c>
      <c r="G605" s="1703">
        <f t="shared" si="42"/>
        <v>0</v>
      </c>
      <c r="J605" s="1704"/>
    </row>
    <row r="606" spans="2:10">
      <c r="B606" s="1700">
        <v>45100</v>
      </c>
      <c r="C606" s="1696">
        <v>3150</v>
      </c>
      <c r="D606" s="1701">
        <f t="shared" si="40"/>
        <v>46000</v>
      </c>
      <c r="E606" s="1774">
        <f t="shared" ref="E606:E614" si="44">IF(B606&lt;=50000,50000)</f>
        <v>50000</v>
      </c>
      <c r="F606" s="1701">
        <f t="shared" si="41"/>
        <v>4900</v>
      </c>
      <c r="G606" s="1703">
        <f t="shared" si="42"/>
        <v>0.10864745011086474</v>
      </c>
      <c r="H606" s="1775">
        <v>9</v>
      </c>
      <c r="J606" s="1748">
        <f>AVERAGE(B606:B614)</f>
        <v>47190.222222222219</v>
      </c>
    </row>
    <row r="607" spans="2:10">
      <c r="B607" s="1700">
        <v>45852</v>
      </c>
      <c r="C607" s="1696">
        <v>3150</v>
      </c>
      <c r="D607" s="1701">
        <f t="shared" si="40"/>
        <v>46000</v>
      </c>
      <c r="E607" s="1774">
        <f t="shared" si="44"/>
        <v>50000</v>
      </c>
      <c r="F607" s="1701">
        <f t="shared" si="41"/>
        <v>4148</v>
      </c>
      <c r="G607" s="1703">
        <f t="shared" si="42"/>
        <v>9.0464974265026601E-2</v>
      </c>
      <c r="H607" s="1776"/>
      <c r="J607" s="1704"/>
    </row>
    <row r="608" spans="2:10">
      <c r="B608" s="1700">
        <v>46166</v>
      </c>
      <c r="C608" s="1696">
        <v>3150</v>
      </c>
      <c r="D608" s="1701">
        <f t="shared" si="40"/>
        <v>47000</v>
      </c>
      <c r="E608" s="1774">
        <f t="shared" si="44"/>
        <v>50000</v>
      </c>
      <c r="F608" s="1701">
        <f t="shared" si="41"/>
        <v>3834</v>
      </c>
      <c r="G608" s="1703">
        <f t="shared" si="42"/>
        <v>8.3048130658926481E-2</v>
      </c>
      <c r="H608" s="1776"/>
      <c r="J608" s="1704"/>
    </row>
    <row r="609" spans="1:10">
      <c r="B609" s="1700">
        <v>46740</v>
      </c>
      <c r="C609" s="1696">
        <v>3150</v>
      </c>
      <c r="D609" s="1701">
        <f t="shared" si="40"/>
        <v>47000</v>
      </c>
      <c r="E609" s="1774">
        <f t="shared" si="44"/>
        <v>50000</v>
      </c>
      <c r="F609" s="1701">
        <f t="shared" si="41"/>
        <v>3260</v>
      </c>
      <c r="G609" s="1703">
        <f t="shared" si="42"/>
        <v>6.9747539580658963E-2</v>
      </c>
      <c r="H609" s="1776"/>
      <c r="J609" s="1704"/>
    </row>
    <row r="610" spans="1:10">
      <c r="B610" s="1700">
        <v>47450</v>
      </c>
      <c r="C610" s="1696">
        <v>3150</v>
      </c>
      <c r="D610" s="1701">
        <f t="shared" si="40"/>
        <v>48000</v>
      </c>
      <c r="E610" s="1774">
        <f t="shared" si="44"/>
        <v>50000</v>
      </c>
      <c r="F610" s="1701">
        <f t="shared" si="41"/>
        <v>2550</v>
      </c>
      <c r="G610" s="1703">
        <f t="shared" si="42"/>
        <v>5.3740779768177031E-2</v>
      </c>
      <c r="H610" s="1776"/>
      <c r="J610" s="1704"/>
    </row>
    <row r="611" spans="1:10">
      <c r="B611" s="1700">
        <v>47988</v>
      </c>
      <c r="C611" s="1696">
        <v>3150</v>
      </c>
      <c r="D611" s="1701">
        <f t="shared" si="40"/>
        <v>48000</v>
      </c>
      <c r="E611" s="1774">
        <f t="shared" si="44"/>
        <v>50000</v>
      </c>
      <c r="F611" s="1701">
        <f t="shared" si="41"/>
        <v>2012</v>
      </c>
      <c r="G611" s="1703">
        <f t="shared" si="42"/>
        <v>4.1927148453780115E-2</v>
      </c>
      <c r="H611" s="1776"/>
      <c r="J611" s="1704"/>
    </row>
    <row r="612" spans="1:10">
      <c r="B612" s="1700">
        <v>48000</v>
      </c>
      <c r="C612" s="1696">
        <v>3288</v>
      </c>
      <c r="D612" s="1701">
        <f t="shared" si="40"/>
        <v>48000</v>
      </c>
      <c r="E612" s="1774">
        <f t="shared" si="44"/>
        <v>50000</v>
      </c>
      <c r="F612" s="1701">
        <f t="shared" si="41"/>
        <v>2000</v>
      </c>
      <c r="G612" s="1703">
        <f t="shared" si="42"/>
        <v>4.1666666666666664E-2</v>
      </c>
      <c r="H612" s="1776"/>
      <c r="J612" s="1704"/>
    </row>
    <row r="613" spans="1:10">
      <c r="B613" s="1700">
        <v>48060</v>
      </c>
      <c r="C613" s="1696">
        <v>3150</v>
      </c>
      <c r="D613" s="1701">
        <f t="shared" si="40"/>
        <v>49000</v>
      </c>
      <c r="E613" s="1774">
        <f t="shared" si="44"/>
        <v>50000</v>
      </c>
      <c r="F613" s="1701">
        <f t="shared" si="41"/>
        <v>1940</v>
      </c>
      <c r="G613" s="1703">
        <f t="shared" si="42"/>
        <v>4.0366208905534745E-2</v>
      </c>
      <c r="H613" s="1776"/>
      <c r="J613" s="1704"/>
    </row>
    <row r="614" spans="1:10">
      <c r="B614" s="1700">
        <v>49356</v>
      </c>
      <c r="C614" s="1696">
        <v>3150</v>
      </c>
      <c r="D614" s="1701">
        <f t="shared" si="40"/>
        <v>50000</v>
      </c>
      <c r="E614" s="1774">
        <f t="shared" si="44"/>
        <v>50000</v>
      </c>
      <c r="F614" s="1701">
        <f t="shared" si="41"/>
        <v>644</v>
      </c>
      <c r="G614" s="1703">
        <f t="shared" si="42"/>
        <v>1.3048058999918956E-2</v>
      </c>
      <c r="H614" s="1776"/>
      <c r="J614" s="1704"/>
    </row>
    <row r="615" spans="1:10">
      <c r="B615" s="1700">
        <v>50899.25</v>
      </c>
      <c r="C615" s="1696">
        <v>3150</v>
      </c>
      <c r="D615" s="1701">
        <f t="shared" si="40"/>
        <v>51000</v>
      </c>
      <c r="E615" s="1702">
        <f>IF(B615&lt;=55000,55000)</f>
        <v>55000</v>
      </c>
      <c r="F615" s="1701">
        <f t="shared" si="41"/>
        <v>4100.75</v>
      </c>
      <c r="G615" s="1703">
        <f t="shared" si="42"/>
        <v>8.0566020127997962E-2</v>
      </c>
      <c r="H615" s="1775">
        <v>1</v>
      </c>
      <c r="J615" s="1748">
        <f>AVERAGE(B615)</f>
        <v>50899.25</v>
      </c>
    </row>
    <row r="616" spans="1:10">
      <c r="B616" s="1700">
        <v>65517.5</v>
      </c>
      <c r="C616" s="1123">
        <v>3150</v>
      </c>
      <c r="D616" s="1777">
        <f t="shared" si="40"/>
        <v>66000</v>
      </c>
      <c r="E616" s="1746">
        <v>60000</v>
      </c>
      <c r="F616" s="1777">
        <f t="shared" si="41"/>
        <v>-5517.5</v>
      </c>
      <c r="G616" s="1778">
        <f t="shared" si="42"/>
        <v>-8.4214141259968706E-2</v>
      </c>
      <c r="H616" s="1775">
        <v>5</v>
      </c>
      <c r="J616" s="1748">
        <f>AVERAGE(B616:B620)</f>
        <v>74212.160000000003</v>
      </c>
    </row>
    <row r="617" spans="1:10">
      <c r="B617" s="1700">
        <v>65999.3</v>
      </c>
      <c r="C617" s="1123">
        <v>3150</v>
      </c>
      <c r="D617" s="1777">
        <f t="shared" si="40"/>
        <v>66000</v>
      </c>
      <c r="E617" s="1746">
        <v>60000</v>
      </c>
      <c r="F617" s="1777">
        <f t="shared" si="41"/>
        <v>-5999.3000000000029</v>
      </c>
      <c r="G617" s="1778">
        <f t="shared" si="42"/>
        <v>-9.0899448933549329E-2</v>
      </c>
      <c r="H617" s="1123"/>
      <c r="J617" s="1704"/>
    </row>
    <row r="618" spans="1:10">
      <c r="B618" s="1700">
        <v>75000</v>
      </c>
      <c r="C618" s="1123">
        <v>3150</v>
      </c>
      <c r="D618" s="1777">
        <f t="shared" si="40"/>
        <v>75000</v>
      </c>
      <c r="E618" s="1746">
        <v>60000</v>
      </c>
      <c r="F618" s="1777">
        <f t="shared" si="41"/>
        <v>-15000</v>
      </c>
      <c r="G618" s="1778">
        <f t="shared" si="42"/>
        <v>-0.2</v>
      </c>
      <c r="H618" s="1123"/>
      <c r="J618" s="1704"/>
    </row>
    <row r="619" spans="1:10">
      <c r="B619" s="1700">
        <v>75000</v>
      </c>
      <c r="C619" s="1123">
        <v>3150</v>
      </c>
      <c r="D619" s="1777">
        <f t="shared" si="40"/>
        <v>75000</v>
      </c>
      <c r="E619" s="1746">
        <v>60000</v>
      </c>
      <c r="F619" s="1777">
        <f t="shared" si="41"/>
        <v>-15000</v>
      </c>
      <c r="G619" s="1778">
        <f t="shared" si="42"/>
        <v>-0.2</v>
      </c>
      <c r="H619" s="1123"/>
      <c r="J619" s="1704"/>
    </row>
    <row r="620" spans="1:10" ht="15.75" thickBot="1">
      <c r="B620" s="1779">
        <v>89544</v>
      </c>
      <c r="C620" s="1780">
        <v>3150</v>
      </c>
      <c r="D620" s="1781">
        <f t="shared" si="40"/>
        <v>90000</v>
      </c>
      <c r="E620" s="1782">
        <v>60000</v>
      </c>
      <c r="F620" s="1781">
        <f t="shared" si="41"/>
        <v>-29544</v>
      </c>
      <c r="G620" s="1783">
        <f t="shared" si="42"/>
        <v>-0.32993835432859825</v>
      </c>
      <c r="H620" s="1123"/>
      <c r="J620" s="1784"/>
    </row>
    <row r="621" spans="1:10" ht="16.5" thickTop="1" thickBot="1">
      <c r="A621" s="1785" t="s">
        <v>511</v>
      </c>
      <c r="B621" s="1786">
        <f>SUM(B2:B620)</f>
        <v>14855466.490000002</v>
      </c>
      <c r="C621" s="1787"/>
      <c r="D621" s="1787">
        <f>SUM(D2:D620)</f>
        <v>15121000</v>
      </c>
      <c r="E621" s="1788">
        <f>SUM(E2:E620)</f>
        <v>15773750</v>
      </c>
      <c r="F621" s="1789">
        <f>SUM(F2:F620)</f>
        <v>918283.51000000047</v>
      </c>
      <c r="G621" s="1790"/>
      <c r="H621" s="1791">
        <v>619</v>
      </c>
    </row>
    <row r="622" spans="1:10" ht="31.5" thickTop="1" thickBot="1">
      <c r="A622" s="1792" t="s">
        <v>512</v>
      </c>
      <c r="E622" s="1786">
        <f>E621-B621</f>
        <v>918283.50999999791</v>
      </c>
    </row>
    <row r="623" spans="1:10" ht="15.75" thickTop="1"/>
    <row r="624" spans="1:10">
      <c r="E624" s="1123"/>
    </row>
  </sheetData>
  <mergeCells count="3">
    <mergeCell ref="S4:S15"/>
    <mergeCell ref="T5:T19"/>
    <mergeCell ref="U6:U24"/>
  </mergeCells>
  <pageMargins left="0.7" right="0.7" top="0.75" bottom="0.75" header="0.3" footer="0.3"/>
  <pageSetup scale="97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4"/>
  <sheetViews>
    <sheetView topLeftCell="BE7" workbookViewId="0">
      <selection activeCell="BT30" sqref="BT30"/>
    </sheetView>
  </sheetViews>
  <sheetFormatPr defaultColWidth="9.140625" defaultRowHeight="12.75"/>
  <cols>
    <col min="1" max="16384" width="9.140625" style="575"/>
  </cols>
  <sheetData>
    <row r="1" spans="1:87" ht="18">
      <c r="A1" s="1793" t="s">
        <v>513</v>
      </c>
      <c r="B1" s="1794"/>
    </row>
    <row r="2" spans="1:87" ht="15.75">
      <c r="A2" s="1795" t="s">
        <v>514</v>
      </c>
      <c r="B2" s="1796"/>
    </row>
    <row r="3" spans="1:87" ht="15.75" thickBot="1">
      <c r="A3" s="1797" t="s">
        <v>515</v>
      </c>
      <c r="B3" s="1798"/>
    </row>
    <row r="6" spans="1:87">
      <c r="BI6" s="1799" t="s">
        <v>516</v>
      </c>
      <c r="BJ6" s="1799" t="s">
        <v>516</v>
      </c>
      <c r="BK6" s="1799" t="s">
        <v>516</v>
      </c>
      <c r="BL6" s="1799" t="s">
        <v>516</v>
      </c>
      <c r="BM6" s="1800" t="s">
        <v>517</v>
      </c>
      <c r="BN6" s="1800" t="s">
        <v>517</v>
      </c>
      <c r="BO6" s="1800" t="s">
        <v>517</v>
      </c>
      <c r="BP6" s="1800" t="s">
        <v>517</v>
      </c>
      <c r="BQ6" s="1801" t="s">
        <v>518</v>
      </c>
      <c r="BR6" s="1801" t="s">
        <v>518</v>
      </c>
      <c r="BS6" s="1801" t="s">
        <v>518</v>
      </c>
      <c r="BT6" s="1801" t="s">
        <v>518</v>
      </c>
      <c r="BU6" s="1802" t="s">
        <v>519</v>
      </c>
      <c r="BV6" s="1802" t="s">
        <v>519</v>
      </c>
      <c r="BW6" s="1802" t="s">
        <v>519</v>
      </c>
      <c r="BX6" s="1802" t="s">
        <v>519</v>
      </c>
      <c r="BY6" s="1803" t="s">
        <v>520</v>
      </c>
      <c r="BZ6" s="1803" t="s">
        <v>520</v>
      </c>
      <c r="CA6" s="1803" t="s">
        <v>520</v>
      </c>
      <c r="CB6" s="1803" t="s">
        <v>520</v>
      </c>
    </row>
    <row r="7" spans="1:87">
      <c r="A7" s="1804"/>
      <c r="B7" s="1804" t="s">
        <v>521</v>
      </c>
      <c r="C7" s="1805" t="s">
        <v>522</v>
      </c>
      <c r="D7" s="1805" t="s">
        <v>523</v>
      </c>
      <c r="E7" s="1805" t="s">
        <v>524</v>
      </c>
      <c r="F7" s="1805" t="s">
        <v>525</v>
      </c>
      <c r="G7" s="1805" t="s">
        <v>526</v>
      </c>
      <c r="H7" s="1805" t="s">
        <v>527</v>
      </c>
      <c r="I7" s="1805" t="s">
        <v>528</v>
      </c>
      <c r="J7" s="1805" t="s">
        <v>529</v>
      </c>
      <c r="K7" s="1805" t="s">
        <v>530</v>
      </c>
      <c r="L7" s="1805" t="s">
        <v>531</v>
      </c>
      <c r="M7" s="1805" t="s">
        <v>532</v>
      </c>
      <c r="N7" s="1805" t="s">
        <v>533</v>
      </c>
      <c r="O7" s="1805" t="s">
        <v>534</v>
      </c>
      <c r="P7" s="1805" t="s">
        <v>535</v>
      </c>
      <c r="Q7" s="1805" t="s">
        <v>536</v>
      </c>
      <c r="R7" s="1805" t="s">
        <v>537</v>
      </c>
      <c r="S7" s="1805" t="s">
        <v>538</v>
      </c>
      <c r="T7" s="1805" t="s">
        <v>539</v>
      </c>
      <c r="U7" s="1805" t="s">
        <v>540</v>
      </c>
      <c r="V7" s="1805" t="s">
        <v>541</v>
      </c>
      <c r="W7" s="1805" t="s">
        <v>542</v>
      </c>
      <c r="X7" s="1805" t="s">
        <v>543</v>
      </c>
      <c r="Y7" s="1805" t="s">
        <v>544</v>
      </c>
      <c r="Z7" s="1805" t="s">
        <v>545</v>
      </c>
      <c r="AA7" s="1805" t="s">
        <v>546</v>
      </c>
      <c r="AB7" s="1805" t="s">
        <v>547</v>
      </c>
      <c r="AC7" s="1805" t="s">
        <v>548</v>
      </c>
      <c r="AD7" s="1805" t="s">
        <v>549</v>
      </c>
      <c r="AE7" s="1805" t="s">
        <v>550</v>
      </c>
      <c r="AF7" s="1805" t="s">
        <v>551</v>
      </c>
      <c r="AG7" s="1805" t="s">
        <v>552</v>
      </c>
      <c r="AH7" s="1805" t="s">
        <v>553</v>
      </c>
      <c r="AI7" s="1805" t="s">
        <v>554</v>
      </c>
      <c r="AJ7" s="1805" t="s">
        <v>555</v>
      </c>
      <c r="AK7" s="1805" t="s">
        <v>556</v>
      </c>
      <c r="AL7" s="1805" t="s">
        <v>557</v>
      </c>
      <c r="AM7" s="1805" t="s">
        <v>558</v>
      </c>
      <c r="AN7" s="1805" t="s">
        <v>559</v>
      </c>
      <c r="AO7" s="1805" t="s">
        <v>560</v>
      </c>
      <c r="AP7" s="1805" t="s">
        <v>561</v>
      </c>
      <c r="AQ7" s="1805" t="s">
        <v>562</v>
      </c>
      <c r="AR7" s="1805" t="s">
        <v>563</v>
      </c>
      <c r="AS7" s="1805" t="s">
        <v>564</v>
      </c>
      <c r="AT7" s="1805" t="s">
        <v>565</v>
      </c>
      <c r="AU7" s="1804" t="s">
        <v>566</v>
      </c>
      <c r="AV7" s="1804" t="s">
        <v>567</v>
      </c>
      <c r="AW7" s="1804" t="s">
        <v>568</v>
      </c>
      <c r="AX7" s="1804" t="s">
        <v>569</v>
      </c>
      <c r="AY7" s="1804" t="s">
        <v>570</v>
      </c>
      <c r="AZ7" s="1804" t="s">
        <v>571</v>
      </c>
      <c r="BA7" s="1804" t="s">
        <v>572</v>
      </c>
      <c r="BB7" s="1804" t="s">
        <v>573</v>
      </c>
      <c r="BC7" s="1804" t="s">
        <v>574</v>
      </c>
      <c r="BD7" s="1804" t="s">
        <v>575</v>
      </c>
      <c r="BE7" s="1804" t="s">
        <v>576</v>
      </c>
      <c r="BF7" s="1804" t="s">
        <v>577</v>
      </c>
      <c r="BG7" s="1804" t="s">
        <v>578</v>
      </c>
      <c r="BH7" s="1804" t="s">
        <v>579</v>
      </c>
      <c r="BI7" s="1804" t="s">
        <v>580</v>
      </c>
      <c r="BJ7" s="1804" t="s">
        <v>581</v>
      </c>
      <c r="BK7" s="1804" t="s">
        <v>582</v>
      </c>
      <c r="BL7" s="1804" t="s">
        <v>583</v>
      </c>
      <c r="BM7" s="1804" t="s">
        <v>584</v>
      </c>
      <c r="BN7" s="1804" t="s">
        <v>585</v>
      </c>
      <c r="BO7" s="1804" t="s">
        <v>586</v>
      </c>
      <c r="BP7" s="1806" t="s">
        <v>587</v>
      </c>
      <c r="BQ7" s="1807" t="s">
        <v>588</v>
      </c>
      <c r="BR7" s="1804" t="s">
        <v>589</v>
      </c>
      <c r="BS7" s="1804" t="s">
        <v>590</v>
      </c>
      <c r="BT7" s="1804" t="s">
        <v>591</v>
      </c>
      <c r="BU7" s="1804" t="s">
        <v>592</v>
      </c>
      <c r="BV7" s="1804" t="s">
        <v>593</v>
      </c>
      <c r="BW7" s="1804" t="s">
        <v>594</v>
      </c>
      <c r="BX7" s="1804" t="s">
        <v>595</v>
      </c>
      <c r="BY7" s="1804" t="s">
        <v>596</v>
      </c>
      <c r="BZ7" s="1804" t="s">
        <v>597</v>
      </c>
      <c r="CA7" s="1804" t="s">
        <v>598</v>
      </c>
      <c r="CB7" s="1804" t="s">
        <v>599</v>
      </c>
      <c r="CC7" s="1804" t="s">
        <v>600</v>
      </c>
      <c r="CD7" s="1804" t="s">
        <v>601</v>
      </c>
      <c r="CE7" s="1804" t="s">
        <v>602</v>
      </c>
      <c r="CF7" s="1804" t="s">
        <v>603</v>
      </c>
      <c r="CG7" s="1804" t="s">
        <v>604</v>
      </c>
      <c r="CH7" s="1804" t="s">
        <v>605</v>
      </c>
      <c r="CI7" s="1804" t="s">
        <v>606</v>
      </c>
    </row>
    <row r="8" spans="1:87">
      <c r="A8" s="1804" t="s">
        <v>607</v>
      </c>
      <c r="B8" s="1804" t="s">
        <v>608</v>
      </c>
      <c r="C8" s="1808">
        <v>2.0343964480826999</v>
      </c>
      <c r="D8" s="1808">
        <v>2.05943632395637</v>
      </c>
      <c r="E8" s="1808">
        <v>2.0644664349199</v>
      </c>
      <c r="F8" s="1808">
        <v>2.0865413060551998</v>
      </c>
      <c r="G8" s="1808">
        <v>2.1041383265898301</v>
      </c>
      <c r="H8" s="1808">
        <v>2.1144127778695201</v>
      </c>
      <c r="I8" s="1808">
        <v>2.1507704710507598</v>
      </c>
      <c r="J8" s="1808">
        <v>2.1697119451171401</v>
      </c>
      <c r="K8" s="1808">
        <v>2.18694695083656</v>
      </c>
      <c r="L8" s="1808">
        <v>2.2122122749579498</v>
      </c>
      <c r="M8" s="1808">
        <v>2.23480678878395</v>
      </c>
      <c r="N8" s="1808">
        <v>2.2202677130356299</v>
      </c>
      <c r="O8" s="1808">
        <v>2.23175261179881</v>
      </c>
      <c r="P8" s="1808">
        <v>2.2580164013091002</v>
      </c>
      <c r="Q8" s="1808">
        <v>2.2753709772035502</v>
      </c>
      <c r="R8" s="1808">
        <v>2.30194291888919</v>
      </c>
      <c r="S8" s="1808">
        <v>2.3192533891099099</v>
      </c>
      <c r="T8" s="1808">
        <v>2.3629433902934598</v>
      </c>
      <c r="U8" s="1808">
        <v>2.4039288645996799</v>
      </c>
      <c r="V8" s="1808">
        <v>2.3508177475344398</v>
      </c>
      <c r="W8" s="1808">
        <v>2.3395569969345802</v>
      </c>
      <c r="X8" s="1808">
        <v>2.34609570313232</v>
      </c>
      <c r="Y8" s="1808">
        <v>2.3657863595331099</v>
      </c>
      <c r="Z8" s="1808">
        <v>2.3805218237276899</v>
      </c>
      <c r="AA8" s="1808">
        <v>2.3783358335942402</v>
      </c>
      <c r="AB8" s="1808">
        <v>2.3830414859475502</v>
      </c>
      <c r="AC8" s="1808">
        <v>2.3975323184108199</v>
      </c>
      <c r="AD8" s="1808">
        <v>2.4214524193269198</v>
      </c>
      <c r="AE8" s="1808">
        <v>2.4313760255508901</v>
      </c>
      <c r="AF8" s="1808">
        <v>2.4766460484572002</v>
      </c>
      <c r="AG8" s="1808">
        <v>2.4881988275326701</v>
      </c>
      <c r="AH8" s="1808">
        <v>2.4967467306687299</v>
      </c>
      <c r="AI8" s="1808">
        <v>2.5126682010265902</v>
      </c>
      <c r="AJ8" s="1808">
        <v>2.5190165748075999</v>
      </c>
      <c r="AK8" s="1808">
        <v>2.52926548445051</v>
      </c>
      <c r="AL8" s="1808">
        <v>2.5498254535670202</v>
      </c>
      <c r="AM8" s="1808">
        <v>2.5565788634062199</v>
      </c>
      <c r="AN8" s="1808">
        <v>2.5541938570175202</v>
      </c>
      <c r="AO8" s="1808">
        <v>2.5733736468802801</v>
      </c>
      <c r="AP8" s="1808">
        <v>2.5879825683785702</v>
      </c>
      <c r="AQ8" s="1808">
        <v>2.5968750678528201</v>
      </c>
      <c r="AR8" s="1808">
        <v>2.60749339976029</v>
      </c>
      <c r="AS8" s="1808">
        <v>2.61387953217735</v>
      </c>
      <c r="AT8" s="1808">
        <v>2.6160583623265499</v>
      </c>
      <c r="AU8" s="575">
        <v>2.61118766519375</v>
      </c>
      <c r="AV8" s="575">
        <v>2.6220108220798601</v>
      </c>
      <c r="AW8" s="575">
        <v>2.6188417055922</v>
      </c>
      <c r="AX8" s="575">
        <v>2.6260990473395398</v>
      </c>
      <c r="AY8" s="575">
        <v>2.6201146582822998</v>
      </c>
      <c r="AZ8" s="575">
        <v>2.6412696718547601</v>
      </c>
      <c r="BA8" s="575">
        <v>2.6622794798761902</v>
      </c>
      <c r="BB8" s="575">
        <v>2.6769828092859602</v>
      </c>
      <c r="BC8" s="575">
        <v>2.69301979781623</v>
      </c>
      <c r="BD8" s="575">
        <v>2.6949351579636902</v>
      </c>
      <c r="BE8" s="575">
        <v>2.7072510455133001</v>
      </c>
      <c r="BF8" s="575">
        <v>2.7194666205217501</v>
      </c>
      <c r="BG8" s="575">
        <v>2.7583872583557998</v>
      </c>
      <c r="BH8" s="575">
        <v>2.7712174411052799</v>
      </c>
      <c r="BI8" s="575">
        <v>2.7767772539950299</v>
      </c>
      <c r="BJ8" s="575">
        <v>2.7900362938944698</v>
      </c>
      <c r="BK8" s="575">
        <v>2.79504989885013</v>
      </c>
      <c r="BL8" s="575">
        <v>2.8124753429938698</v>
      </c>
      <c r="BM8" s="575">
        <v>2.8258429652208199</v>
      </c>
      <c r="BN8" s="575">
        <v>2.84827109602332</v>
      </c>
      <c r="BO8" s="575">
        <v>2.8648096227990201</v>
      </c>
      <c r="BP8" s="575">
        <v>2.87366388911181</v>
      </c>
      <c r="BQ8" s="575">
        <v>2.8888357489521002</v>
      </c>
      <c r="BR8" s="575">
        <v>2.8975460997816902</v>
      </c>
      <c r="BS8" s="575">
        <v>2.9097169947994401</v>
      </c>
      <c r="BT8" s="575">
        <v>2.9296333194362298</v>
      </c>
      <c r="BU8" s="575">
        <v>2.94689616214067</v>
      </c>
      <c r="BV8" s="575">
        <v>2.9583483780456699</v>
      </c>
      <c r="BW8" s="575">
        <v>2.9813259042976701</v>
      </c>
      <c r="BX8" s="575">
        <v>3.0046912726057902</v>
      </c>
      <c r="BY8" s="575">
        <v>3.0255581522131298</v>
      </c>
      <c r="BZ8" s="575">
        <v>3.04587440346724</v>
      </c>
      <c r="CA8" s="575">
        <v>3.0658590818670399</v>
      </c>
      <c r="CB8" s="575">
        <v>3.0832941540272398</v>
      </c>
      <c r="CC8" s="575">
        <v>3.1029951080744298</v>
      </c>
      <c r="CD8" s="575">
        <v>3.1221931367125899</v>
      </c>
      <c r="CE8" s="575">
        <v>3.1400314557673501</v>
      </c>
      <c r="CF8" s="575">
        <v>3.1597078634776099</v>
      </c>
      <c r="CG8" s="575">
        <v>3.1784171022252501</v>
      </c>
      <c r="CH8" s="575">
        <v>3.1965028368224302</v>
      </c>
    </row>
    <row r="9" spans="1:87">
      <c r="A9" s="1804" t="s">
        <v>609</v>
      </c>
      <c r="B9" s="1804" t="s">
        <v>610</v>
      </c>
      <c r="C9" s="1808">
        <v>2.0343964480826999</v>
      </c>
      <c r="D9" s="1808">
        <v>2.05943632395637</v>
      </c>
      <c r="E9" s="1808">
        <v>2.0644664349199</v>
      </c>
      <c r="F9" s="1808">
        <v>2.0865413060551998</v>
      </c>
      <c r="G9" s="1808">
        <v>2.1041383265898301</v>
      </c>
      <c r="H9" s="1808">
        <v>2.1144127778695201</v>
      </c>
      <c r="I9" s="1808">
        <v>2.1507704710507598</v>
      </c>
      <c r="J9" s="1808">
        <v>2.1697119451171401</v>
      </c>
      <c r="K9" s="1808">
        <v>2.18694695083656</v>
      </c>
      <c r="L9" s="1808">
        <v>2.2122122749579498</v>
      </c>
      <c r="M9" s="1808">
        <v>2.23480678878395</v>
      </c>
      <c r="N9" s="1808">
        <v>2.2202677130356299</v>
      </c>
      <c r="O9" s="1808">
        <v>2.23175261179881</v>
      </c>
      <c r="P9" s="1808">
        <v>2.2580164013091002</v>
      </c>
      <c r="Q9" s="1808">
        <v>2.2753709772035502</v>
      </c>
      <c r="R9" s="1808">
        <v>2.30194291888919</v>
      </c>
      <c r="S9" s="1808">
        <v>2.3192533891099099</v>
      </c>
      <c r="T9" s="1808">
        <v>2.3629433902934598</v>
      </c>
      <c r="U9" s="1808">
        <v>2.4039288645996799</v>
      </c>
      <c r="V9" s="1808">
        <v>2.3508177475344398</v>
      </c>
      <c r="W9" s="1808">
        <v>2.3395569969345802</v>
      </c>
      <c r="X9" s="1808">
        <v>2.34609570313232</v>
      </c>
      <c r="Y9" s="1808">
        <v>2.3657863595331099</v>
      </c>
      <c r="Z9" s="1808">
        <v>2.3805218237276899</v>
      </c>
      <c r="AA9" s="1808">
        <v>2.3783358335942402</v>
      </c>
      <c r="AB9" s="1808">
        <v>2.3830414859475502</v>
      </c>
      <c r="AC9" s="1808">
        <v>2.3975323184108199</v>
      </c>
      <c r="AD9" s="1808">
        <v>2.4214524193269198</v>
      </c>
      <c r="AE9" s="1808">
        <v>2.4313760255508901</v>
      </c>
      <c r="AF9" s="1808">
        <v>2.4766460484572002</v>
      </c>
      <c r="AG9" s="1808">
        <v>2.4881988275326701</v>
      </c>
      <c r="AH9" s="1808">
        <v>2.4967467306687299</v>
      </c>
      <c r="AI9" s="1808">
        <v>2.5126682010265902</v>
      </c>
      <c r="AJ9" s="1808">
        <v>2.5190165748075999</v>
      </c>
      <c r="AK9" s="1808">
        <v>2.52926548445051</v>
      </c>
      <c r="AL9" s="1808">
        <v>2.5498254535670202</v>
      </c>
      <c r="AM9" s="1808">
        <v>2.5565788634062199</v>
      </c>
      <c r="AN9" s="1808">
        <v>2.5541938570175202</v>
      </c>
      <c r="AO9" s="1808">
        <v>2.5733736468802801</v>
      </c>
      <c r="AP9" s="1808">
        <v>2.5879825683785702</v>
      </c>
      <c r="AQ9" s="1808">
        <v>2.5968750678528201</v>
      </c>
      <c r="AR9" s="1808">
        <v>2.60749339976029</v>
      </c>
      <c r="AS9" s="1808">
        <v>2.61387953217735</v>
      </c>
      <c r="AT9" s="1808">
        <v>2.6160583623265499</v>
      </c>
      <c r="AU9" s="575">
        <v>2.61118766519375</v>
      </c>
      <c r="AV9" s="575">
        <v>2.6220108220798601</v>
      </c>
      <c r="AW9" s="575">
        <v>2.6188417055922</v>
      </c>
      <c r="AX9" s="575">
        <v>2.6260990473395398</v>
      </c>
      <c r="AY9" s="575">
        <v>2.6201146582822998</v>
      </c>
      <c r="AZ9" s="575">
        <v>2.6412696718547601</v>
      </c>
      <c r="BA9" s="575">
        <v>2.6622794798761902</v>
      </c>
      <c r="BB9" s="575">
        <v>2.6769828092859602</v>
      </c>
      <c r="BC9" s="575">
        <v>2.69301979781623</v>
      </c>
      <c r="BD9" s="575">
        <v>2.6949351579636902</v>
      </c>
      <c r="BE9" s="575">
        <v>2.7072510455133001</v>
      </c>
      <c r="BF9" s="575">
        <v>2.7194666205217501</v>
      </c>
      <c r="BG9" s="575">
        <v>2.7583872583557998</v>
      </c>
      <c r="BH9" s="575">
        <v>2.7712174411052799</v>
      </c>
      <c r="BI9" s="575">
        <v>2.7767772539950299</v>
      </c>
      <c r="BJ9" s="575">
        <v>2.7900362938944698</v>
      </c>
      <c r="BK9" s="575">
        <v>2.79504989885013</v>
      </c>
      <c r="BL9" s="575">
        <v>2.8124753429938698</v>
      </c>
      <c r="BM9" s="575">
        <v>2.8258429652208199</v>
      </c>
      <c r="BN9" s="575">
        <v>2.84582069929911</v>
      </c>
      <c r="BO9" s="575">
        <v>2.86055636092141</v>
      </c>
      <c r="BP9" s="1809">
        <v>2.86714152292299</v>
      </c>
      <c r="BQ9" s="1810">
        <v>2.87979046783079</v>
      </c>
      <c r="BR9" s="575">
        <v>2.8862359962744399</v>
      </c>
      <c r="BS9" s="575">
        <v>2.8952255447313102</v>
      </c>
      <c r="BT9" s="575">
        <v>2.9114792295702099</v>
      </c>
      <c r="BU9" s="575">
        <v>2.92478764045907</v>
      </c>
      <c r="BV9" s="575">
        <v>2.9313520578905301</v>
      </c>
      <c r="BW9" s="575">
        <v>2.9488666202170299</v>
      </c>
      <c r="BX9" s="575">
        <v>2.9672225449874401</v>
      </c>
      <c r="BY9" s="575">
        <v>2.9827762298190601</v>
      </c>
      <c r="BZ9" s="575">
        <v>2.9973649977235501</v>
      </c>
      <c r="CA9" s="575">
        <v>3.01160898598325</v>
      </c>
      <c r="CB9" s="575">
        <v>3.0243751954104701</v>
      </c>
      <c r="CC9" s="575">
        <v>3.0393168799481201</v>
      </c>
      <c r="CD9" s="575">
        <v>3.0546372008786999</v>
      </c>
      <c r="CE9" s="575">
        <v>3.0677758980614298</v>
      </c>
      <c r="CF9" s="575">
        <v>3.08286200226184</v>
      </c>
      <c r="CG9" s="575">
        <v>3.09713585293321</v>
      </c>
      <c r="CH9" s="575">
        <v>3.1105686621575002</v>
      </c>
    </row>
    <row r="10" spans="1:87">
      <c r="A10" s="1804" t="s">
        <v>611</v>
      </c>
      <c r="B10" s="1804" t="s">
        <v>612</v>
      </c>
      <c r="C10" s="1808">
        <v>2.0343964480826999</v>
      </c>
      <c r="D10" s="1808">
        <v>2.05943632395637</v>
      </c>
      <c r="E10" s="1808">
        <v>2.0644664349199</v>
      </c>
      <c r="F10" s="1808">
        <v>2.0865413060551998</v>
      </c>
      <c r="G10" s="1808">
        <v>2.1041383265898301</v>
      </c>
      <c r="H10" s="1808">
        <v>2.1144127778695201</v>
      </c>
      <c r="I10" s="1808">
        <v>2.1507704710507598</v>
      </c>
      <c r="J10" s="1808">
        <v>2.1697119451171401</v>
      </c>
      <c r="K10" s="1808">
        <v>2.18694695083656</v>
      </c>
      <c r="L10" s="1808">
        <v>2.2122122749579498</v>
      </c>
      <c r="M10" s="1808">
        <v>2.23480678878395</v>
      </c>
      <c r="N10" s="1808">
        <v>2.2202677130356299</v>
      </c>
      <c r="O10" s="1808">
        <v>2.23175261179881</v>
      </c>
      <c r="P10" s="1808">
        <v>2.2580164013091002</v>
      </c>
      <c r="Q10" s="1808">
        <v>2.2753709772035502</v>
      </c>
      <c r="R10" s="1808">
        <v>2.30194291888919</v>
      </c>
      <c r="S10" s="1808">
        <v>2.3192533891099099</v>
      </c>
      <c r="T10" s="1808">
        <v>2.3629433902934598</v>
      </c>
      <c r="U10" s="1808">
        <v>2.4039288645996799</v>
      </c>
      <c r="V10" s="1808">
        <v>2.3508177475344398</v>
      </c>
      <c r="W10" s="1808">
        <v>2.3395569969345802</v>
      </c>
      <c r="X10" s="1808">
        <v>2.34609570313232</v>
      </c>
      <c r="Y10" s="1808">
        <v>2.3657863595331099</v>
      </c>
      <c r="Z10" s="1808">
        <v>2.3805218237276899</v>
      </c>
      <c r="AA10" s="1808">
        <v>2.3783358335942402</v>
      </c>
      <c r="AB10" s="1808">
        <v>2.3830414859475502</v>
      </c>
      <c r="AC10" s="1808">
        <v>2.3975323184108199</v>
      </c>
      <c r="AD10" s="1808">
        <v>2.4214524193269198</v>
      </c>
      <c r="AE10" s="1808">
        <v>2.4313760255508901</v>
      </c>
      <c r="AF10" s="1808">
        <v>2.4766460484572002</v>
      </c>
      <c r="AG10" s="1808">
        <v>2.4881988275326701</v>
      </c>
      <c r="AH10" s="1808">
        <v>2.4967467306687299</v>
      </c>
      <c r="AI10" s="1808">
        <v>2.5126682010265902</v>
      </c>
      <c r="AJ10" s="1808">
        <v>2.5190165748075999</v>
      </c>
      <c r="AK10" s="1808">
        <v>2.52926548445051</v>
      </c>
      <c r="AL10" s="1808">
        <v>2.5498254535670202</v>
      </c>
      <c r="AM10" s="1808">
        <v>2.5565788634062199</v>
      </c>
      <c r="AN10" s="1808">
        <v>2.5541938570175202</v>
      </c>
      <c r="AO10" s="1808">
        <v>2.5733736468802801</v>
      </c>
      <c r="AP10" s="1808">
        <v>2.5879825683785702</v>
      </c>
      <c r="AQ10" s="1808">
        <v>2.5968750678528201</v>
      </c>
      <c r="AR10" s="1808">
        <v>2.60749339976029</v>
      </c>
      <c r="AS10" s="1808">
        <v>2.61387953217735</v>
      </c>
      <c r="AT10" s="1808">
        <v>2.6160583623265499</v>
      </c>
      <c r="AU10" s="575">
        <v>2.61118766519375</v>
      </c>
      <c r="AV10" s="575">
        <v>2.6220108220798601</v>
      </c>
      <c r="AW10" s="575">
        <v>2.6188417055922</v>
      </c>
      <c r="AX10" s="575">
        <v>2.6260990473395398</v>
      </c>
      <c r="AY10" s="575">
        <v>2.6201146582822998</v>
      </c>
      <c r="AZ10" s="575">
        <v>2.6412696718547601</v>
      </c>
      <c r="BA10" s="575">
        <v>2.6622794798761902</v>
      </c>
      <c r="BB10" s="575">
        <v>2.6769828092859602</v>
      </c>
      <c r="BC10" s="575">
        <v>2.69301979781623</v>
      </c>
      <c r="BD10" s="575">
        <v>2.6949351579636902</v>
      </c>
      <c r="BE10" s="575">
        <v>2.7072510455133001</v>
      </c>
      <c r="BF10" s="575">
        <v>2.7194666205217501</v>
      </c>
      <c r="BG10" s="575">
        <v>2.7583872583557998</v>
      </c>
      <c r="BH10" s="575">
        <v>2.7712174411052799</v>
      </c>
      <c r="BI10" s="575">
        <v>2.7767772539950299</v>
      </c>
      <c r="BJ10" s="575">
        <v>2.7900362938944698</v>
      </c>
      <c r="BK10" s="575">
        <v>2.79504989885013</v>
      </c>
      <c r="BL10" s="575">
        <v>2.8124753429938698</v>
      </c>
      <c r="BM10" s="575">
        <v>2.8258429652208199</v>
      </c>
      <c r="BN10" s="575">
        <v>2.8508726138222098</v>
      </c>
      <c r="BO10" s="575">
        <v>2.8707703287451301</v>
      </c>
      <c r="BP10" s="575">
        <v>2.8838742724040798</v>
      </c>
      <c r="BQ10" s="575">
        <v>2.9041973957490499</v>
      </c>
      <c r="BR10" s="575">
        <v>2.9181801842111201</v>
      </c>
      <c r="BS10" s="575">
        <v>2.9363927339244902</v>
      </c>
      <c r="BT10" s="575">
        <v>2.96289077167628</v>
      </c>
      <c r="BU10" s="575">
        <v>2.9870211065969401</v>
      </c>
      <c r="BV10" s="575">
        <v>3.0057565286188099</v>
      </c>
      <c r="BW10" s="575">
        <v>3.0365761747820499</v>
      </c>
      <c r="BX10" s="575">
        <v>3.0681959808882899</v>
      </c>
      <c r="BY10" s="575">
        <v>3.0977145098143102</v>
      </c>
      <c r="BZ10" s="575">
        <v>3.1270435262635901</v>
      </c>
      <c r="CA10" s="575">
        <v>3.1563342945986901</v>
      </c>
      <c r="CB10" s="575">
        <v>3.1831997293388401</v>
      </c>
      <c r="CC10" s="575">
        <v>3.2125565050276701</v>
      </c>
      <c r="CD10" s="575">
        <v>3.2415902186312202</v>
      </c>
      <c r="CE10" s="575">
        <v>3.2694429238234299</v>
      </c>
      <c r="CF10" s="575">
        <v>3.2994498764972602</v>
      </c>
      <c r="CG10" s="575">
        <v>3.3287005383778001</v>
      </c>
      <c r="CH10" s="575">
        <v>3.3574479886706499</v>
      </c>
    </row>
    <row r="17" spans="60:85"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</row>
    <row r="18" spans="60:85">
      <c r="BH18" s="1811"/>
      <c r="BI18" s="1811"/>
      <c r="BJ18" s="1811"/>
      <c r="BK18" s="1811"/>
      <c r="BL18" s="1811"/>
      <c r="BM18" s="1811"/>
      <c r="BN18" s="1811"/>
      <c r="BO18" s="1811"/>
      <c r="BP18" s="1811"/>
      <c r="BQ18" s="1811"/>
      <c r="BR18" s="1811"/>
      <c r="BS18" s="1811"/>
      <c r="BT18" s="1811"/>
      <c r="BU18" s="1811"/>
      <c r="BV18" s="1811"/>
      <c r="BW18" s="1811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</row>
    <row r="19" spans="60:85" ht="15">
      <c r="BH19" s="1811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1811"/>
      <c r="BV19" s="1811"/>
      <c r="BW19" s="1811"/>
      <c r="BX19" s="1812"/>
      <c r="BY19" s="1813"/>
      <c r="BZ19" s="1812"/>
      <c r="CA19" s="1813"/>
      <c r="CB19" s="1813"/>
      <c r="CC19" s="1813"/>
      <c r="CD19" s="1813"/>
      <c r="CE19" s="365"/>
      <c r="CF19" s="365"/>
      <c r="CG19" s="365"/>
    </row>
    <row r="20" spans="60:85" ht="15">
      <c r="BH20" s="1811"/>
      <c r="BI20" s="1814" t="s">
        <v>613</v>
      </c>
      <c r="BJ20" s="1815"/>
      <c r="BK20" s="1815"/>
      <c r="BL20" s="1816" t="s">
        <v>614</v>
      </c>
      <c r="BM20" s="1817"/>
      <c r="BN20" s="1817"/>
      <c r="BO20" s="1817"/>
      <c r="BP20" s="1817"/>
      <c r="BQ20" s="1817"/>
      <c r="BR20" s="1815"/>
      <c r="BS20" s="1815"/>
      <c r="BT20" s="1815"/>
      <c r="BU20" s="1811"/>
      <c r="BV20" s="1811"/>
      <c r="BW20" s="1811"/>
      <c r="BX20" s="1818"/>
      <c r="BY20" s="1813"/>
      <c r="BZ20" s="1813"/>
      <c r="CA20" s="1813"/>
      <c r="CB20" s="1813"/>
      <c r="CC20" s="1813"/>
      <c r="CD20" s="1813"/>
      <c r="CE20" s="365"/>
      <c r="CF20" s="365"/>
      <c r="CG20" s="365"/>
    </row>
    <row r="21" spans="60:85" ht="15">
      <c r="BH21" s="1811"/>
      <c r="BI21" s="1819"/>
      <c r="BJ21" s="1820"/>
      <c r="BK21" s="1820"/>
      <c r="BL21" s="1820"/>
      <c r="BM21" s="1820"/>
      <c r="BN21" s="1820"/>
      <c r="BO21" s="1820"/>
      <c r="BP21" s="1820"/>
      <c r="BQ21" s="1820"/>
      <c r="BR21" s="1820"/>
      <c r="BS21" s="1820"/>
      <c r="BT21" s="1821"/>
      <c r="BU21" s="1811"/>
      <c r="BV21" s="1811"/>
      <c r="BW21" s="1811"/>
      <c r="BX21" s="1813"/>
      <c r="BY21" s="1813"/>
      <c r="BZ21" s="1813"/>
      <c r="CA21" s="1813"/>
      <c r="CB21" s="1813"/>
      <c r="CC21" s="1813"/>
      <c r="CD21" s="1813"/>
      <c r="CE21" s="365"/>
      <c r="CF21" s="365"/>
      <c r="CG21" s="365"/>
    </row>
    <row r="22" spans="60:85" ht="15">
      <c r="BH22" s="1811"/>
      <c r="BI22" s="1822"/>
      <c r="BJ22" s="1823" t="s">
        <v>615</v>
      </c>
      <c r="BK22" s="1824" t="s">
        <v>616</v>
      </c>
      <c r="BL22" s="1824" t="s">
        <v>617</v>
      </c>
      <c r="BM22" s="1824"/>
      <c r="BN22" s="1824"/>
      <c r="BO22" s="1824"/>
      <c r="BP22" s="1824"/>
      <c r="BQ22" s="1824"/>
      <c r="BR22" s="1824"/>
      <c r="BS22" s="1824"/>
      <c r="BT22" s="1825"/>
      <c r="BU22" s="1811"/>
      <c r="BV22" s="1811"/>
      <c r="BW22" s="1811"/>
      <c r="BX22" s="1813"/>
      <c r="BY22" s="1813"/>
      <c r="BZ22" s="1813"/>
      <c r="CA22" s="1813"/>
      <c r="CB22" s="1813"/>
      <c r="CC22" s="1813"/>
      <c r="CD22" s="1813"/>
      <c r="CE22" s="365"/>
      <c r="CF22" s="365"/>
      <c r="CG22" s="365"/>
    </row>
    <row r="23" spans="60:85" ht="15">
      <c r="BH23" s="1811"/>
      <c r="BI23" s="1822"/>
      <c r="BJ23" s="1824"/>
      <c r="BK23" s="1826" t="s">
        <v>587</v>
      </c>
      <c r="BL23" s="1827" t="s">
        <v>618</v>
      </c>
      <c r="BM23" s="1826"/>
      <c r="BN23" s="1826"/>
      <c r="BO23" s="1824"/>
      <c r="BP23" s="1824"/>
      <c r="BQ23" s="1824"/>
      <c r="BR23" s="1824"/>
      <c r="BS23" s="1824"/>
      <c r="BT23" s="1828" t="s">
        <v>619</v>
      </c>
      <c r="BU23" s="1811"/>
      <c r="BV23" s="1811"/>
      <c r="BW23" s="1811"/>
      <c r="BX23" s="1813"/>
      <c r="BY23" s="1813"/>
      <c r="BZ23" s="1813"/>
      <c r="CA23" s="1813"/>
      <c r="CB23" s="1813"/>
      <c r="CC23" s="1813"/>
      <c r="CD23" s="1813"/>
      <c r="CE23" s="365"/>
      <c r="CF23" s="365"/>
      <c r="CG23" s="365"/>
    </row>
    <row r="24" spans="60:85" ht="15">
      <c r="BH24" s="1811"/>
      <c r="BI24" s="1822"/>
      <c r="BJ24" s="1824"/>
      <c r="BK24" s="1829">
        <v>2.86714152292299</v>
      </c>
      <c r="BL24" s="1829"/>
      <c r="BM24" s="1829"/>
      <c r="BN24" s="1829"/>
      <c r="BO24" s="1824"/>
      <c r="BP24" s="1824"/>
      <c r="BQ24" s="1824"/>
      <c r="BR24" s="1824"/>
      <c r="BS24" s="1824"/>
      <c r="BT24" s="1830">
        <f>AVERAGE(BK24:BN24)</f>
        <v>2.86714152292299</v>
      </c>
      <c r="BU24" s="1811"/>
      <c r="BV24" s="1811"/>
      <c r="BW24" s="1811"/>
      <c r="BX24" s="1813"/>
      <c r="BY24" s="1813"/>
      <c r="BZ24" s="1813"/>
      <c r="CA24" s="1813"/>
      <c r="CB24" s="1813"/>
      <c r="CC24" s="1813"/>
      <c r="CD24" s="1813"/>
      <c r="CE24" s="365"/>
      <c r="CF24" s="365"/>
      <c r="CG24" s="365"/>
    </row>
    <row r="25" spans="60:85" ht="15">
      <c r="BH25" s="1811"/>
      <c r="BI25" s="1822"/>
      <c r="BJ25" s="1824"/>
      <c r="BK25" s="1824"/>
      <c r="BL25" s="1824"/>
      <c r="BM25" s="1824"/>
      <c r="BN25" s="1824"/>
      <c r="BO25" s="1824"/>
      <c r="BP25" s="1824"/>
      <c r="BQ25" s="1824"/>
      <c r="BR25" s="1824"/>
      <c r="BS25" s="1824"/>
      <c r="BT25" s="1831"/>
      <c r="BU25" s="1811"/>
      <c r="BV25" s="1811"/>
      <c r="BW25" s="1811"/>
      <c r="BX25" s="1813"/>
      <c r="BY25" s="1813"/>
      <c r="BZ25" s="1813"/>
      <c r="CA25" s="1813"/>
      <c r="CB25" s="1813"/>
      <c r="CC25" s="1813"/>
      <c r="CD25" s="1813"/>
      <c r="CE25" s="1813"/>
      <c r="CF25" s="365"/>
      <c r="CG25" s="365"/>
    </row>
    <row r="26" spans="60:85" ht="15">
      <c r="BH26" s="1811"/>
      <c r="BI26" s="1822"/>
      <c r="BJ26" s="1823" t="s">
        <v>620</v>
      </c>
      <c r="BK26" s="1824" t="s">
        <v>621</v>
      </c>
      <c r="BL26" s="1824"/>
      <c r="BM26" s="1824"/>
      <c r="BN26" s="1824"/>
      <c r="BO26" s="1824"/>
      <c r="BP26" s="1824"/>
      <c r="BQ26" s="1824"/>
      <c r="BR26" s="1824"/>
      <c r="BS26" s="1824"/>
      <c r="BT26" s="1831"/>
      <c r="BU26" s="1811"/>
      <c r="BV26" s="1811"/>
      <c r="BW26" s="1811"/>
      <c r="BX26" s="1813"/>
      <c r="BY26" s="1813"/>
      <c r="BZ26" s="1813"/>
      <c r="CA26" s="1813"/>
      <c r="CB26" s="1813"/>
      <c r="CC26" s="1813"/>
      <c r="CD26" s="1813"/>
      <c r="CE26" s="1813"/>
      <c r="CF26" s="365"/>
      <c r="CG26" s="365"/>
    </row>
    <row r="27" spans="60:85" ht="15">
      <c r="BH27" s="1811"/>
      <c r="BI27" s="1822"/>
      <c r="BJ27" s="1824"/>
      <c r="BK27" s="1832" t="s">
        <v>588</v>
      </c>
      <c r="BL27" s="1832" t="s">
        <v>589</v>
      </c>
      <c r="BM27" s="1832" t="s">
        <v>590</v>
      </c>
      <c r="BN27" s="1832" t="s">
        <v>591</v>
      </c>
      <c r="BO27" s="1832" t="s">
        <v>592</v>
      </c>
      <c r="BP27" s="1832" t="s">
        <v>593</v>
      </c>
      <c r="BQ27" s="1832" t="s">
        <v>594</v>
      </c>
      <c r="BR27" s="1832" t="s">
        <v>595</v>
      </c>
      <c r="BS27" s="1824"/>
      <c r="BT27" s="1831"/>
      <c r="BU27" s="1811"/>
      <c r="BV27" s="1811"/>
      <c r="BW27" s="1811"/>
      <c r="BX27" s="1812"/>
      <c r="BY27" s="1813"/>
      <c r="BZ27" s="1812"/>
      <c r="CA27" s="1813"/>
      <c r="CB27" s="1813"/>
      <c r="CC27" s="1813"/>
      <c r="CD27" s="1813"/>
      <c r="CE27" s="1813"/>
      <c r="CF27" s="365"/>
      <c r="CG27" s="365"/>
    </row>
    <row r="28" spans="60:85" ht="15">
      <c r="BH28" s="1811"/>
      <c r="BI28" s="1822"/>
      <c r="BJ28" s="1824"/>
      <c r="BK28" s="1833">
        <v>2.87979046783079</v>
      </c>
      <c r="BL28" s="1833">
        <v>2.8862359962744399</v>
      </c>
      <c r="BM28" s="1833">
        <v>2.8952255447313102</v>
      </c>
      <c r="BN28" s="1833">
        <v>2.9114792295702099</v>
      </c>
      <c r="BO28" s="1833">
        <v>2.92478764045907</v>
      </c>
      <c r="BP28" s="1833">
        <v>2.9313520578905301</v>
      </c>
      <c r="BQ28" s="1833">
        <v>2.9488666202170299</v>
      </c>
      <c r="BR28" s="1833">
        <v>2.9672225449874401</v>
      </c>
      <c r="BS28" s="1824"/>
      <c r="BT28" s="1830">
        <f>AVERAGE(BK28:BR28)</f>
        <v>2.9181200127451019</v>
      </c>
      <c r="BU28" s="1811"/>
      <c r="BV28" s="1811"/>
      <c r="BW28" s="1811"/>
      <c r="BX28" s="1818"/>
      <c r="BY28" s="1813"/>
      <c r="BZ28" s="1813"/>
      <c r="CA28" s="1813"/>
      <c r="CB28" s="1813"/>
      <c r="CC28" s="1813"/>
      <c r="CD28" s="1813"/>
      <c r="CE28" s="1813"/>
      <c r="CF28" s="365"/>
      <c r="CG28" s="365"/>
    </row>
    <row r="29" spans="60:85" ht="15">
      <c r="BH29" s="1811"/>
      <c r="BI29" s="1822"/>
      <c r="BJ29" s="1824"/>
      <c r="BK29" s="1824"/>
      <c r="BL29" s="1824"/>
      <c r="BM29" s="1824"/>
      <c r="BN29" s="1824"/>
      <c r="BO29" s="1824"/>
      <c r="BP29" s="1824"/>
      <c r="BQ29" s="1824"/>
      <c r="BR29" s="1824"/>
      <c r="BS29" s="1824"/>
      <c r="BT29" s="1831"/>
      <c r="BU29" s="1811"/>
      <c r="BV29" s="1811"/>
      <c r="BW29" s="1811"/>
      <c r="BX29" s="1813"/>
      <c r="BY29" s="1813"/>
      <c r="BZ29" s="1813"/>
      <c r="CA29" s="1813"/>
      <c r="CB29" s="1813"/>
      <c r="CC29" s="1813"/>
      <c r="CD29" s="1813"/>
      <c r="CE29" s="1813"/>
      <c r="CF29" s="365"/>
      <c r="CG29" s="365"/>
    </row>
    <row r="30" spans="60:85" ht="15">
      <c r="BH30" s="1811"/>
      <c r="BI30" s="1822"/>
      <c r="BJ30" s="1824"/>
      <c r="BK30" s="1824"/>
      <c r="BL30" s="1824"/>
      <c r="BM30" s="1824"/>
      <c r="BN30" s="1824"/>
      <c r="BO30" s="1824"/>
      <c r="BP30" s="1824"/>
      <c r="BQ30" s="1824"/>
      <c r="BR30" s="1824"/>
      <c r="BS30" s="1834" t="s">
        <v>449</v>
      </c>
      <c r="BT30" s="1835">
        <f>(BT28-BT24)/BT24</f>
        <v>1.7780248869661817E-2</v>
      </c>
      <c r="BU30" s="1811"/>
      <c r="BV30" s="1811"/>
      <c r="BW30" s="1811"/>
      <c r="BX30" s="1813"/>
      <c r="BY30" s="1813"/>
      <c r="BZ30" s="1813"/>
      <c r="CA30" s="1813"/>
      <c r="CB30" s="1813"/>
      <c r="CC30" s="1813"/>
      <c r="CD30" s="1813"/>
      <c r="CE30" s="1813"/>
      <c r="CF30" s="365"/>
      <c r="CG30" s="365"/>
    </row>
    <row r="31" spans="60:85" ht="15">
      <c r="BH31" s="1811"/>
      <c r="BI31" s="1836"/>
      <c r="BJ31" s="1837"/>
      <c r="BK31" s="1837"/>
      <c r="BL31" s="1837"/>
      <c r="BM31" s="1837"/>
      <c r="BN31" s="1837"/>
      <c r="BO31" s="1837"/>
      <c r="BP31" s="1837"/>
      <c r="BQ31" s="1837"/>
      <c r="BR31" s="1837"/>
      <c r="BS31" s="1837"/>
      <c r="BT31" s="1838"/>
      <c r="BU31" s="1811"/>
      <c r="BV31" s="1811"/>
      <c r="BW31" s="1811"/>
      <c r="BX31" s="1813"/>
      <c r="BY31" s="1813"/>
      <c r="BZ31" s="1813"/>
      <c r="CA31" s="1813"/>
      <c r="CB31" s="1813"/>
      <c r="CC31" s="1813"/>
      <c r="CD31" s="1813"/>
      <c r="CE31" s="1813"/>
      <c r="CF31" s="365"/>
      <c r="CG31" s="365"/>
    </row>
    <row r="32" spans="60:85" ht="15">
      <c r="BH32" s="1811"/>
      <c r="BI32" s="1811"/>
      <c r="BJ32" s="1811"/>
      <c r="BK32" s="1811"/>
      <c r="BL32" s="1811"/>
      <c r="BM32" s="1811"/>
      <c r="BN32" s="1811"/>
      <c r="BO32" s="1811"/>
      <c r="BP32" s="1811"/>
      <c r="BQ32" s="1811"/>
      <c r="BR32" s="1811"/>
      <c r="BS32" s="1811"/>
      <c r="BT32" s="1811"/>
      <c r="BU32" s="1811"/>
      <c r="BV32" s="1811"/>
      <c r="BW32" s="1811"/>
      <c r="BX32" s="1813"/>
      <c r="BY32" s="1813"/>
      <c r="BZ32" s="1813"/>
      <c r="CA32" s="1813"/>
      <c r="CB32" s="1813"/>
      <c r="CC32" s="1813"/>
      <c r="CD32" s="1813"/>
      <c r="CE32" s="1813"/>
      <c r="CF32" s="365"/>
      <c r="CG32" s="365"/>
    </row>
    <row r="33" spans="76:85"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</row>
    <row r="34" spans="76:85">
      <c r="BX34" s="365"/>
      <c r="BY34" s="365"/>
      <c r="BZ34" s="365"/>
      <c r="CA34" s="365"/>
      <c r="CB34" s="365"/>
      <c r="CC34" s="365"/>
      <c r="CD34" s="365"/>
      <c r="CE34" s="365"/>
      <c r="CF34" s="365"/>
      <c r="CG34" s="3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0"/>
  <sheetViews>
    <sheetView zoomScaleNormal="100" workbookViewId="0">
      <selection activeCell="R13" sqref="R13"/>
    </sheetView>
  </sheetViews>
  <sheetFormatPr defaultRowHeight="15"/>
  <cols>
    <col min="2" max="2" width="9" customWidth="1"/>
    <col min="3" max="3" width="13.28515625" hidden="1" customWidth="1"/>
    <col min="4" max="4" width="10.140625" hidden="1" customWidth="1"/>
    <col min="5" max="5" width="49.5703125" customWidth="1"/>
    <col min="6" max="6" width="13.140625" hidden="1" customWidth="1"/>
    <col min="7" max="7" width="14.7109375" hidden="1" customWidth="1"/>
    <col min="8" max="8" width="21.7109375" hidden="1" customWidth="1"/>
    <col min="9" max="9" width="22" hidden="1" customWidth="1"/>
    <col min="10" max="10" width="13.7109375" hidden="1" customWidth="1"/>
    <col min="11" max="11" width="21.5703125" style="113" hidden="1" customWidth="1"/>
    <col min="12" max="12" width="22.42578125" style="190" hidden="1" customWidth="1"/>
    <col min="13" max="13" width="11.5703125" style="109" hidden="1" customWidth="1"/>
    <col min="14" max="14" width="22.85546875" customWidth="1"/>
    <col min="15" max="15" width="15.42578125" customWidth="1"/>
    <col min="16" max="16" width="14.7109375" bestFit="1" customWidth="1"/>
    <col min="17" max="17" width="11.28515625" customWidth="1"/>
    <col min="18" max="18" width="12.140625" bestFit="1" customWidth="1"/>
  </cols>
  <sheetData>
    <row r="1" spans="2:15" ht="18.75">
      <c r="E1" s="1244" t="s">
        <v>95</v>
      </c>
      <c r="F1" s="1245"/>
      <c r="G1" s="1245"/>
      <c r="H1" s="1245"/>
      <c r="I1" s="1246"/>
      <c r="L1" s="114" t="s">
        <v>96</v>
      </c>
      <c r="M1" s="115">
        <v>1.8700000000000001E-2</v>
      </c>
      <c r="O1" s="109"/>
    </row>
    <row r="2" spans="2:15">
      <c r="E2" s="116" t="s">
        <v>97</v>
      </c>
      <c r="F2" s="1247" t="s">
        <v>98</v>
      </c>
      <c r="G2" s="1248"/>
      <c r="H2" s="117" t="s">
        <v>99</v>
      </c>
      <c r="I2" s="116" t="s">
        <v>100</v>
      </c>
      <c r="J2" s="116" t="s">
        <v>51</v>
      </c>
      <c r="K2" s="118" t="s">
        <v>101</v>
      </c>
      <c r="L2" s="119" t="s">
        <v>102</v>
      </c>
      <c r="M2" s="1249" t="s">
        <v>103</v>
      </c>
      <c r="N2" s="120" t="s">
        <v>104</v>
      </c>
    </row>
    <row r="3" spans="2:15" ht="19.5" customHeight="1">
      <c r="E3" s="121"/>
      <c r="F3" s="1251"/>
      <c r="G3" s="1251"/>
      <c r="H3" s="122"/>
      <c r="I3" s="123"/>
      <c r="J3" s="123"/>
      <c r="K3" s="124"/>
      <c r="L3" s="125"/>
      <c r="M3" s="1250"/>
      <c r="N3" s="126"/>
    </row>
    <row r="4" spans="2:15" ht="14.45" customHeight="1">
      <c r="E4" s="127" t="s">
        <v>105</v>
      </c>
      <c r="F4" s="1235">
        <v>1641</v>
      </c>
      <c r="G4" s="1235"/>
      <c r="H4" s="128">
        <f>F4*(1.0972)</f>
        <v>1800.5051999999998</v>
      </c>
      <c r="I4" s="129" t="s">
        <v>106</v>
      </c>
      <c r="J4" s="130">
        <f>'[12]CAF Sp. 2016'!BD26</f>
        <v>2.6438643292682744E-2</v>
      </c>
      <c r="K4" s="80">
        <f>H4*(J4+1)</f>
        <v>1848.1081147294201</v>
      </c>
      <c r="L4" s="131">
        <f>K4*($M$1+1)</f>
        <v>1882.6677364748602</v>
      </c>
      <c r="M4" s="132">
        <f>[11]Chart!C32</f>
        <v>1.78E-2</v>
      </c>
      <c r="N4" s="131">
        <f>L4*(M4+1)</f>
        <v>1916.1792221841129</v>
      </c>
      <c r="O4" s="133"/>
    </row>
    <row r="5" spans="2:15">
      <c r="B5" s="1233"/>
      <c r="C5" s="1233"/>
      <c r="E5" s="1234" t="s">
        <v>107</v>
      </c>
      <c r="F5" s="1235">
        <v>1641</v>
      </c>
      <c r="G5" s="1235"/>
      <c r="H5" s="1236">
        <f>F5*(1.0972)</f>
        <v>1800.5051999999998</v>
      </c>
      <c r="I5" s="1237" t="s">
        <v>106</v>
      </c>
      <c r="J5" s="1238">
        <f>'[12]CAF Sp. 2016'!BD26</f>
        <v>2.6438643292682744E-2</v>
      </c>
      <c r="K5" s="1239">
        <f>H5*(J5+1)</f>
        <v>1848.1081147294201</v>
      </c>
      <c r="L5" s="1240">
        <f t="shared" ref="L5:L60" si="0">K5*($M$1+1)</f>
        <v>1882.6677364748602</v>
      </c>
      <c r="M5" s="1242">
        <f>M4</f>
        <v>1.78E-2</v>
      </c>
      <c r="N5" s="1240">
        <f>L5*(M5+1)</f>
        <v>1916.1792221841129</v>
      </c>
      <c r="O5" s="133"/>
    </row>
    <row r="6" spans="2:15" ht="18" customHeight="1">
      <c r="B6" s="1233"/>
      <c r="C6" s="1233"/>
      <c r="E6" s="1234"/>
      <c r="F6" s="1235"/>
      <c r="G6" s="1235"/>
      <c r="H6" s="1236"/>
      <c r="I6" s="1237"/>
      <c r="J6" s="1238"/>
      <c r="K6" s="1239"/>
      <c r="L6" s="1241"/>
      <c r="M6" s="1243"/>
      <c r="N6" s="1241"/>
      <c r="O6" s="133"/>
    </row>
    <row r="7" spans="2:15">
      <c r="B7" s="1233"/>
      <c r="C7" s="1233"/>
      <c r="E7" s="1234" t="s">
        <v>108</v>
      </c>
      <c r="F7" s="1235">
        <v>2064</v>
      </c>
      <c r="G7" s="1235"/>
      <c r="H7" s="1236">
        <f>F7*(1.0972)</f>
        <v>2264.6207999999997</v>
      </c>
      <c r="I7" s="1237" t="s">
        <v>106</v>
      </c>
      <c r="J7" s="1238">
        <f>'[12]CAF Sp. 2016'!BD26</f>
        <v>2.6438643292682744E-2</v>
      </c>
      <c r="K7" s="1239">
        <f t="shared" ref="K7:K32" si="1">H7*(J7+1)</f>
        <v>2324.4943015243894</v>
      </c>
      <c r="L7" s="1240">
        <f t="shared" si="0"/>
        <v>2367.9623449628953</v>
      </c>
      <c r="M7" s="1242">
        <f>M5</f>
        <v>1.78E-2</v>
      </c>
      <c r="N7" s="1240">
        <f>L7*(M7+1)</f>
        <v>2410.1120747032351</v>
      </c>
      <c r="O7" s="133"/>
    </row>
    <row r="8" spans="2:15" ht="12.75" customHeight="1">
      <c r="B8" s="1233"/>
      <c r="C8" s="1233"/>
      <c r="E8" s="1234"/>
      <c r="F8" s="1235"/>
      <c r="G8" s="1235"/>
      <c r="H8" s="1236"/>
      <c r="I8" s="1237"/>
      <c r="J8" s="1238"/>
      <c r="K8" s="1239"/>
      <c r="L8" s="1241"/>
      <c r="M8" s="1243"/>
      <c r="N8" s="1241"/>
      <c r="O8" s="133"/>
    </row>
    <row r="9" spans="2:15">
      <c r="B9" s="1233"/>
      <c r="C9" s="1233"/>
      <c r="E9" s="1234" t="s">
        <v>109</v>
      </c>
      <c r="F9" s="1235">
        <v>2064</v>
      </c>
      <c r="G9" s="1235"/>
      <c r="H9" s="1236">
        <f>F9*(1.0972)</f>
        <v>2264.6207999999997</v>
      </c>
      <c r="I9" s="1237" t="s">
        <v>106</v>
      </c>
      <c r="J9" s="1238">
        <f>'[12]CAF Sp. 2016'!BD26</f>
        <v>2.6438643292682744E-2</v>
      </c>
      <c r="K9" s="1239">
        <f t="shared" si="1"/>
        <v>2324.4943015243894</v>
      </c>
      <c r="L9" s="1240">
        <f t="shared" si="0"/>
        <v>2367.9623449628953</v>
      </c>
      <c r="M9" s="1242">
        <f>M7</f>
        <v>1.78E-2</v>
      </c>
      <c r="N9" s="1240">
        <f>L9*(M9+1)</f>
        <v>2410.1120747032351</v>
      </c>
      <c r="O9" s="133"/>
    </row>
    <row r="10" spans="2:15" ht="17.25" customHeight="1">
      <c r="B10" s="1233"/>
      <c r="C10" s="1233"/>
      <c r="E10" s="1234"/>
      <c r="F10" s="1235"/>
      <c r="G10" s="1235"/>
      <c r="H10" s="1236"/>
      <c r="I10" s="1237"/>
      <c r="J10" s="1238"/>
      <c r="K10" s="1239"/>
      <c r="L10" s="1241"/>
      <c r="M10" s="1243"/>
      <c r="N10" s="1241"/>
      <c r="O10" s="133"/>
    </row>
    <row r="11" spans="2:15" ht="14.45" customHeight="1">
      <c r="E11" s="134" t="s">
        <v>110</v>
      </c>
      <c r="F11" s="1235">
        <v>248</v>
      </c>
      <c r="G11" s="1235"/>
      <c r="H11" s="135">
        <f>F11*1.0972</f>
        <v>272.10559999999998</v>
      </c>
      <c r="I11" s="136" t="s">
        <v>106</v>
      </c>
      <c r="J11" s="130">
        <f>'[12]CAF Sp. 2016'!BD26</f>
        <v>2.6438643292682744E-2</v>
      </c>
      <c r="K11" s="80">
        <f t="shared" si="1"/>
        <v>279.29970289634139</v>
      </c>
      <c r="L11" s="80">
        <f t="shared" si="0"/>
        <v>284.52260734050293</v>
      </c>
      <c r="M11" s="130">
        <f>M9</f>
        <v>1.78E-2</v>
      </c>
      <c r="N11" s="80">
        <f>L11*(M11+1)</f>
        <v>289.58710975116389</v>
      </c>
      <c r="O11" s="133"/>
    </row>
    <row r="12" spans="2:15" ht="14.45" customHeight="1">
      <c r="E12" s="134" t="s">
        <v>111</v>
      </c>
      <c r="F12" s="1235">
        <v>428</v>
      </c>
      <c r="G12" s="1235"/>
      <c r="H12" s="135">
        <f>F12*(1.0972)</f>
        <v>469.60159999999996</v>
      </c>
      <c r="I12" s="136" t="s">
        <v>106</v>
      </c>
      <c r="J12" s="130">
        <f>'[12]CAF Sp. 2016'!BD26</f>
        <v>2.6438643292682744E-2</v>
      </c>
      <c r="K12" s="80">
        <f t="shared" si="1"/>
        <v>482.01722919207299</v>
      </c>
      <c r="L12" s="80">
        <f t="shared" si="0"/>
        <v>491.0309513779647</v>
      </c>
      <c r="M12" s="130">
        <f>M11</f>
        <v>1.78E-2</v>
      </c>
      <c r="N12" s="80">
        <f>L12*(M12+1)</f>
        <v>499.77130231249248</v>
      </c>
      <c r="O12" s="133"/>
    </row>
    <row r="13" spans="2:15" ht="25.5" customHeight="1">
      <c r="E13" s="137" t="s">
        <v>112</v>
      </c>
      <c r="F13" s="1251"/>
      <c r="G13" s="1251"/>
      <c r="H13" s="122"/>
      <c r="I13" s="138"/>
      <c r="J13" s="138"/>
      <c r="K13" s="139"/>
      <c r="L13" s="140"/>
      <c r="M13" s="141"/>
      <c r="N13" s="80"/>
      <c r="O13" s="133"/>
    </row>
    <row r="14" spans="2:15" ht="14.45" customHeight="1">
      <c r="E14" s="142" t="s">
        <v>113</v>
      </c>
      <c r="F14" s="1235">
        <v>428</v>
      </c>
      <c r="G14" s="1235"/>
      <c r="H14" s="135">
        <f>F14*(1.0972)</f>
        <v>469.60159999999996</v>
      </c>
      <c r="I14" s="136" t="s">
        <v>106</v>
      </c>
      <c r="J14" s="130">
        <f>'[12]CAF Sp. 2016'!BD26</f>
        <v>2.6438643292682744E-2</v>
      </c>
      <c r="K14" s="80">
        <f t="shared" si="1"/>
        <v>482.01722919207299</v>
      </c>
      <c r="L14" s="80">
        <f t="shared" si="0"/>
        <v>491.0309513779647</v>
      </c>
      <c r="M14" s="143">
        <f>M11</f>
        <v>1.78E-2</v>
      </c>
      <c r="N14" s="80">
        <f>L14*(M14+1)</f>
        <v>499.77130231249248</v>
      </c>
      <c r="O14" s="133"/>
    </row>
    <row r="15" spans="2:15" ht="14.45" customHeight="1">
      <c r="E15" s="142" t="s">
        <v>114</v>
      </c>
      <c r="F15" s="1235">
        <v>1641</v>
      </c>
      <c r="G15" s="1235"/>
      <c r="H15" s="135">
        <f>F15*(1.0972)</f>
        <v>1800.5051999999998</v>
      </c>
      <c r="I15" s="136" t="s">
        <v>106</v>
      </c>
      <c r="J15" s="130">
        <f>'[12]CAF Sp. 2016'!BD26</f>
        <v>2.6438643292682744E-2</v>
      </c>
      <c r="K15" s="80">
        <f t="shared" si="1"/>
        <v>1848.1081147294201</v>
      </c>
      <c r="L15" s="80">
        <f t="shared" si="0"/>
        <v>1882.6677364748602</v>
      </c>
      <c r="M15" s="130">
        <f>M14</f>
        <v>1.78E-2</v>
      </c>
      <c r="N15" s="80">
        <f>L15*(M15+1)</f>
        <v>1916.1792221841129</v>
      </c>
      <c r="O15" s="133"/>
    </row>
    <row r="16" spans="2:15" ht="22.5" customHeight="1">
      <c r="E16" s="144" t="s">
        <v>115</v>
      </c>
      <c r="F16" s="1235">
        <v>1641</v>
      </c>
      <c r="G16" s="1235"/>
      <c r="H16" s="145">
        <f>F16*(1.0972)</f>
        <v>1800.5051999999998</v>
      </c>
      <c r="I16" s="146" t="s">
        <v>106</v>
      </c>
      <c r="J16" s="147">
        <f>'[12]CAF Sp. 2016'!BD26</f>
        <v>2.6438643292682744E-2</v>
      </c>
      <c r="K16" s="80">
        <f t="shared" si="1"/>
        <v>1848.1081147294201</v>
      </c>
      <c r="L16" s="80">
        <f t="shared" si="0"/>
        <v>1882.6677364748602</v>
      </c>
      <c r="M16" s="147">
        <f>M15</f>
        <v>1.78E-2</v>
      </c>
      <c r="N16" s="80">
        <f>L16*(M16+1)</f>
        <v>1916.1792221841129</v>
      </c>
      <c r="O16" s="133"/>
    </row>
    <row r="17" spans="5:15" ht="14.45" customHeight="1">
      <c r="E17" s="148" t="s">
        <v>116</v>
      </c>
      <c r="F17" s="1251"/>
      <c r="G17" s="1251"/>
      <c r="H17" s="122"/>
      <c r="I17" s="149"/>
      <c r="J17" s="149"/>
      <c r="K17" s="139"/>
      <c r="L17" s="140"/>
      <c r="M17" s="141"/>
      <c r="N17" s="80"/>
      <c r="O17" s="133"/>
    </row>
    <row r="18" spans="5:15" ht="14.45" customHeight="1">
      <c r="E18" s="134" t="s">
        <v>117</v>
      </c>
      <c r="F18" s="1235">
        <v>3406</v>
      </c>
      <c r="G18" s="1235"/>
      <c r="H18" s="135">
        <f>F18*(1.0972)</f>
        <v>3737.0632000000001</v>
      </c>
      <c r="I18" s="136" t="s">
        <v>106</v>
      </c>
      <c r="J18" s="130">
        <f>'[12]CAF Sp. 2016'!BD26</f>
        <v>2.6438643292682744E-2</v>
      </c>
      <c r="K18" s="80">
        <f t="shared" si="1"/>
        <v>3835.8660809070111</v>
      </c>
      <c r="L18" s="80">
        <f t="shared" si="0"/>
        <v>3907.5967766199719</v>
      </c>
      <c r="M18" s="150">
        <f>M16</f>
        <v>1.78E-2</v>
      </c>
      <c r="N18" s="80">
        <f>L18*(M18+1)</f>
        <v>3977.1519992438075</v>
      </c>
      <c r="O18" s="133"/>
    </row>
    <row r="19" spans="5:15" ht="14.45" customHeight="1">
      <c r="E19" s="134" t="s">
        <v>118</v>
      </c>
      <c r="F19" s="1235">
        <v>5480</v>
      </c>
      <c r="G19" s="1235"/>
      <c r="H19" s="135">
        <f>F19*(1.0972)</f>
        <v>6012.6559999999999</v>
      </c>
      <c r="I19" s="136" t="s">
        <v>106</v>
      </c>
      <c r="J19" s="130">
        <f>'[12]CAF Sp. 2016'!BD26</f>
        <v>2.6438643292682744E-2</v>
      </c>
      <c r="K19" s="80">
        <f t="shared" si="1"/>
        <v>6171.6224672256076</v>
      </c>
      <c r="L19" s="80">
        <f t="shared" si="0"/>
        <v>6287.0318073627259</v>
      </c>
      <c r="M19" s="130">
        <f>M18</f>
        <v>1.78E-2</v>
      </c>
      <c r="N19" s="80">
        <f>L19*(M19+1)</f>
        <v>6398.9409735337822</v>
      </c>
      <c r="O19" s="133"/>
    </row>
    <row r="20" spans="5:15" ht="14.45" customHeight="1">
      <c r="E20" s="134" t="s">
        <v>119</v>
      </c>
      <c r="F20" s="1235">
        <v>8282</v>
      </c>
      <c r="G20" s="1235"/>
      <c r="H20" s="135">
        <f>F20*(1.0972)</f>
        <v>9087.0103999999992</v>
      </c>
      <c r="I20" s="136" t="s">
        <v>106</v>
      </c>
      <c r="J20" s="130">
        <f>'[12]CAF Sp. 2016'!BD26</f>
        <v>2.6438643292682744E-2</v>
      </c>
      <c r="K20" s="80">
        <f t="shared" si="1"/>
        <v>9327.2586265624959</v>
      </c>
      <c r="L20" s="80">
        <f t="shared" si="0"/>
        <v>9501.6783628792145</v>
      </c>
      <c r="M20" s="130">
        <f>M19</f>
        <v>1.78E-2</v>
      </c>
      <c r="N20" s="80">
        <f>L20*(M20+1)</f>
        <v>9670.8082377384653</v>
      </c>
      <c r="O20" s="133"/>
    </row>
    <row r="21" spans="5:15" ht="14.45" customHeight="1">
      <c r="E21" s="148" t="s">
        <v>120</v>
      </c>
      <c r="F21" s="1251"/>
      <c r="G21" s="1251"/>
      <c r="H21" s="122"/>
      <c r="I21" s="149"/>
      <c r="J21" s="149"/>
      <c r="K21" s="139"/>
      <c r="L21" s="140"/>
      <c r="M21" s="141"/>
      <c r="N21" s="80"/>
      <c r="O21" s="133"/>
    </row>
    <row r="22" spans="5:15" ht="14.45" customHeight="1">
      <c r="E22" s="151" t="s">
        <v>117</v>
      </c>
      <c r="F22" s="1235">
        <v>2735</v>
      </c>
      <c r="G22" s="1235"/>
      <c r="H22" s="135">
        <f>F22*(1.0972)</f>
        <v>3000.8420000000001</v>
      </c>
      <c r="I22" s="136" t="s">
        <v>106</v>
      </c>
      <c r="J22" s="130">
        <f>'[12]CAF Sp. 2016'!BD26</f>
        <v>2.6438643292682744E-2</v>
      </c>
      <c r="K22" s="80">
        <f t="shared" si="1"/>
        <v>3080.1801912157002</v>
      </c>
      <c r="L22" s="80">
        <f t="shared" si="0"/>
        <v>3137.7795607914336</v>
      </c>
      <c r="M22" s="130">
        <f>M20</f>
        <v>1.78E-2</v>
      </c>
      <c r="N22" s="80">
        <f>L22*(M22+1)</f>
        <v>3193.6320369735213</v>
      </c>
      <c r="O22" s="133"/>
    </row>
    <row r="23" spans="5:15" ht="14.45" customHeight="1">
      <c r="E23" s="134" t="s">
        <v>118</v>
      </c>
      <c r="F23" s="1235">
        <v>4386</v>
      </c>
      <c r="G23" s="1235"/>
      <c r="H23" s="135">
        <f>F23*(1.0972)</f>
        <v>4812.3191999999999</v>
      </c>
      <c r="I23" s="136" t="s">
        <v>106</v>
      </c>
      <c r="J23" s="130">
        <f>'[12]CAF Sp. 2016'!BD26</f>
        <v>2.6438643292682744E-2</v>
      </c>
      <c r="K23" s="80">
        <f t="shared" si="1"/>
        <v>4939.5503907393277</v>
      </c>
      <c r="L23" s="80">
        <f t="shared" si="0"/>
        <v>5031.919983046153</v>
      </c>
      <c r="M23" s="130">
        <f>M22</f>
        <v>1.78E-2</v>
      </c>
      <c r="N23" s="80">
        <f>L23*(M23+1)</f>
        <v>5121.4881587443751</v>
      </c>
      <c r="O23" s="133"/>
    </row>
    <row r="24" spans="5:15" ht="14.45" customHeight="1">
      <c r="E24" s="134" t="s">
        <v>119</v>
      </c>
      <c r="F24" s="1235">
        <v>6579</v>
      </c>
      <c r="G24" s="1235"/>
      <c r="H24" s="135">
        <f>F24*(1.0972)</f>
        <v>7218.4787999999999</v>
      </c>
      <c r="I24" s="136" t="s">
        <v>106</v>
      </c>
      <c r="J24" s="130">
        <f>'[12]CAF Sp. 2016'!BD26</f>
        <v>2.6438643292682744E-2</v>
      </c>
      <c r="K24" s="80">
        <f t="shared" si="1"/>
        <v>7409.325586108992</v>
      </c>
      <c r="L24" s="80">
        <f t="shared" si="0"/>
        <v>7547.8799745692295</v>
      </c>
      <c r="M24" s="130">
        <f>M23</f>
        <v>1.78E-2</v>
      </c>
      <c r="N24" s="80">
        <f>L24*(M24+1)</f>
        <v>7682.2322381165623</v>
      </c>
      <c r="O24" s="133"/>
    </row>
    <row r="25" spans="5:15">
      <c r="E25" s="148" t="s">
        <v>121</v>
      </c>
      <c r="F25" s="1251"/>
      <c r="G25" s="1251"/>
      <c r="H25" s="122"/>
      <c r="I25" s="149"/>
      <c r="J25" s="149"/>
      <c r="K25" s="139"/>
      <c r="L25" s="140"/>
      <c r="M25" s="141"/>
      <c r="N25" s="80"/>
      <c r="O25" s="133"/>
    </row>
    <row r="26" spans="5:15">
      <c r="E26" s="134" t="s">
        <v>117</v>
      </c>
      <c r="F26" s="1235">
        <v>671</v>
      </c>
      <c r="G26" s="1235"/>
      <c r="H26" s="135">
        <f>F26*(1.0972)</f>
        <v>736.22119999999995</v>
      </c>
      <c r="I26" s="136" t="s">
        <v>106</v>
      </c>
      <c r="J26" s="130">
        <f>'[12]CAF Sp. 2016'!BD26</f>
        <v>2.6438643292682744E-2</v>
      </c>
      <c r="K26" s="80">
        <f t="shared" si="1"/>
        <v>755.68588969131076</v>
      </c>
      <c r="L26" s="80">
        <f t="shared" si="0"/>
        <v>769.81721582853822</v>
      </c>
      <c r="M26" s="130">
        <f>M24</f>
        <v>1.78E-2</v>
      </c>
      <c r="N26" s="80">
        <f>L26*(M26+1)</f>
        <v>783.51996227028621</v>
      </c>
      <c r="O26" s="133"/>
    </row>
    <row r="27" spans="5:15">
      <c r="E27" s="134" t="s">
        <v>118</v>
      </c>
      <c r="F27" s="1235">
        <v>1094</v>
      </c>
      <c r="G27" s="1235"/>
      <c r="H27" s="135">
        <f>F27*(1.0972)</f>
        <v>1200.3368</v>
      </c>
      <c r="I27" s="136" t="s">
        <v>106</v>
      </c>
      <c r="J27" s="130">
        <f>'[12]CAF Sp. 2016'!BD26</f>
        <v>2.6438643292682744E-2</v>
      </c>
      <c r="K27" s="80">
        <f t="shared" si="1"/>
        <v>1232.0720764862801</v>
      </c>
      <c r="L27" s="80">
        <f t="shared" si="0"/>
        <v>1255.1118243165736</v>
      </c>
      <c r="M27" s="130">
        <f>M26</f>
        <v>1.78E-2</v>
      </c>
      <c r="N27" s="80">
        <f>L27*(M27+1)</f>
        <v>1277.4528147894086</v>
      </c>
      <c r="O27" s="133"/>
    </row>
    <row r="28" spans="5:15">
      <c r="E28" s="134" t="s">
        <v>119</v>
      </c>
      <c r="F28" s="1235">
        <v>1641</v>
      </c>
      <c r="G28" s="1235"/>
      <c r="H28" s="135">
        <f>F28*(1.0972)</f>
        <v>1800.5051999999998</v>
      </c>
      <c r="I28" s="136" t="s">
        <v>106</v>
      </c>
      <c r="J28" s="130">
        <f>'[12]CAF Sp. 2016'!BD26</f>
        <v>2.6438643292682744E-2</v>
      </c>
      <c r="K28" s="80">
        <f t="shared" si="1"/>
        <v>1848.1081147294201</v>
      </c>
      <c r="L28" s="80">
        <f t="shared" si="0"/>
        <v>1882.6677364748602</v>
      </c>
      <c r="M28" s="130">
        <f>M27</f>
        <v>1.78E-2</v>
      </c>
      <c r="N28" s="80">
        <f>L28*(M28+1)</f>
        <v>1916.1792221841129</v>
      </c>
      <c r="O28" s="133"/>
    </row>
    <row r="29" spans="5:15">
      <c r="E29" s="148" t="s">
        <v>122</v>
      </c>
      <c r="F29" s="1251"/>
      <c r="G29" s="1251"/>
      <c r="H29" s="122"/>
      <c r="I29" s="149"/>
      <c r="J29" s="149"/>
      <c r="K29" s="139"/>
      <c r="L29" s="140"/>
      <c r="M29" s="141"/>
      <c r="N29" s="80"/>
      <c r="O29" s="133"/>
    </row>
    <row r="30" spans="5:15">
      <c r="E30" s="134" t="s">
        <v>117</v>
      </c>
      <c r="F30" s="1235">
        <v>3406</v>
      </c>
      <c r="G30" s="1235"/>
      <c r="H30" s="135">
        <f>F30*(1.0972)</f>
        <v>3737.0632000000001</v>
      </c>
      <c r="I30" s="136" t="s">
        <v>106</v>
      </c>
      <c r="J30" s="130">
        <f>'[12]CAF Sp. 2016'!BD26</f>
        <v>2.6438643292682744E-2</v>
      </c>
      <c r="K30" s="80">
        <f t="shared" si="1"/>
        <v>3835.8660809070111</v>
      </c>
      <c r="L30" s="80">
        <f t="shared" si="0"/>
        <v>3907.5967766199719</v>
      </c>
      <c r="M30" s="130">
        <f>M28</f>
        <v>1.78E-2</v>
      </c>
      <c r="N30" s="80">
        <f>L30*(M30+1)</f>
        <v>3977.1519992438075</v>
      </c>
      <c r="O30" s="133"/>
    </row>
    <row r="31" spans="5:15">
      <c r="E31" s="134" t="s">
        <v>118</v>
      </c>
      <c r="F31" s="1235">
        <v>5480</v>
      </c>
      <c r="G31" s="1235"/>
      <c r="H31" s="135">
        <f>F31*(1.0972)</f>
        <v>6012.6559999999999</v>
      </c>
      <c r="I31" s="136" t="s">
        <v>106</v>
      </c>
      <c r="J31" s="130">
        <f>'[12]CAF Sp. 2016'!BD26</f>
        <v>2.6438643292682744E-2</v>
      </c>
      <c r="K31" s="80">
        <f t="shared" si="1"/>
        <v>6171.6224672256076</v>
      </c>
      <c r="L31" s="80">
        <f t="shared" si="0"/>
        <v>6287.0318073627259</v>
      </c>
      <c r="M31" s="130">
        <f>M30</f>
        <v>1.78E-2</v>
      </c>
      <c r="N31" s="80">
        <f>L31*(M31+1)</f>
        <v>6398.9409735337822</v>
      </c>
      <c r="O31" s="133"/>
    </row>
    <row r="32" spans="5:15">
      <c r="E32" s="134" t="s">
        <v>119</v>
      </c>
      <c r="F32" s="1235">
        <v>8282</v>
      </c>
      <c r="G32" s="1235"/>
      <c r="H32" s="135">
        <f>F32*(1.0972)</f>
        <v>9087.0103999999992</v>
      </c>
      <c r="I32" s="136" t="s">
        <v>106</v>
      </c>
      <c r="J32" s="130">
        <f>'[12]CAF Sp. 2016'!BD26</f>
        <v>2.6438643292682744E-2</v>
      </c>
      <c r="K32" s="80">
        <f t="shared" si="1"/>
        <v>9327.2586265624959</v>
      </c>
      <c r="L32" s="80">
        <f t="shared" si="0"/>
        <v>9501.6783628792145</v>
      </c>
      <c r="M32" s="130">
        <f>M31</f>
        <v>1.78E-2</v>
      </c>
      <c r="N32" s="80">
        <f>L32*(M32+1)</f>
        <v>9670.8082377384653</v>
      </c>
      <c r="O32" s="133"/>
    </row>
    <row r="33" spans="2:15">
      <c r="B33" s="1233"/>
      <c r="C33" s="1233"/>
      <c r="E33" s="1252" t="s">
        <v>123</v>
      </c>
      <c r="F33" s="1235">
        <v>516</v>
      </c>
      <c r="G33" s="1235"/>
      <c r="H33" s="1236">
        <f>F33*(1.0972)</f>
        <v>566.15519999999992</v>
      </c>
      <c r="I33" s="1253" t="s">
        <v>106</v>
      </c>
      <c r="J33" s="1238">
        <f>'[12]CAF Sp. 2016'!BD26</f>
        <v>2.6438643292682744E-2</v>
      </c>
      <c r="K33" s="1239">
        <f>H33*(J33+1)</f>
        <v>581.12357538109734</v>
      </c>
      <c r="L33" s="1240">
        <f t="shared" si="0"/>
        <v>591.99058624072381</v>
      </c>
      <c r="M33" s="1242">
        <f>M32</f>
        <v>1.78E-2</v>
      </c>
      <c r="N33" s="1240">
        <f>L33*(M33+1)</f>
        <v>602.52801867580877</v>
      </c>
      <c r="O33" s="133"/>
    </row>
    <row r="34" spans="2:15" ht="7.5" customHeight="1">
      <c r="B34" s="1233"/>
      <c r="C34" s="1233"/>
      <c r="E34" s="1252"/>
      <c r="F34" s="1235"/>
      <c r="G34" s="1235"/>
      <c r="H34" s="1236"/>
      <c r="I34" s="1253"/>
      <c r="J34" s="1238"/>
      <c r="K34" s="1239"/>
      <c r="L34" s="1241"/>
      <c r="M34" s="1254"/>
      <c r="N34" s="1241"/>
      <c r="O34" s="133"/>
    </row>
    <row r="35" spans="2:15" ht="22.5" customHeight="1">
      <c r="E35" s="152" t="s">
        <v>124</v>
      </c>
      <c r="F35" s="1251"/>
      <c r="G35" s="1251"/>
      <c r="H35" s="122"/>
      <c r="I35" s="138"/>
      <c r="J35" s="138"/>
      <c r="K35" s="139"/>
      <c r="L35" s="140"/>
      <c r="M35" s="153"/>
      <c r="N35" s="80"/>
      <c r="O35" s="133"/>
    </row>
    <row r="36" spans="2:15">
      <c r="E36" s="134" t="s">
        <v>125</v>
      </c>
      <c r="F36" s="1235">
        <v>970</v>
      </c>
      <c r="G36" s="1235"/>
      <c r="H36" s="135">
        <f>F36*(1.0972)</f>
        <v>1064.2839999999999</v>
      </c>
      <c r="I36" s="136" t="s">
        <v>106</v>
      </c>
      <c r="J36" s="130">
        <f>'[12]CAF Sp. 2016'!BD26</f>
        <v>2.6438643292682744E-2</v>
      </c>
      <c r="K36" s="80">
        <f>H36*(J36+1)</f>
        <v>1092.4222250381092</v>
      </c>
      <c r="L36" s="80">
        <f t="shared" si="0"/>
        <v>1112.8505206463217</v>
      </c>
      <c r="M36" s="130">
        <f>M33</f>
        <v>1.78E-2</v>
      </c>
      <c r="N36" s="80">
        <f>L36*(M36+1)</f>
        <v>1132.6592599138262</v>
      </c>
      <c r="O36" s="133"/>
    </row>
    <row r="37" spans="2:15">
      <c r="E37" s="134" t="s">
        <v>126</v>
      </c>
      <c r="F37" s="1235">
        <v>2064</v>
      </c>
      <c r="G37" s="1235"/>
      <c r="H37" s="135">
        <f>F37*(1.0972)</f>
        <v>2264.6207999999997</v>
      </c>
      <c r="I37" s="136" t="s">
        <v>106</v>
      </c>
      <c r="J37" s="130">
        <f>'[12]CAF Sp. 2016'!BD26</f>
        <v>2.6438643292682744E-2</v>
      </c>
      <c r="K37" s="80">
        <f t="shared" ref="K37:K52" si="2">H37*(J37+1)</f>
        <v>2324.4943015243894</v>
      </c>
      <c r="L37" s="80">
        <f t="shared" si="0"/>
        <v>2367.9623449628953</v>
      </c>
      <c r="M37" s="130">
        <f>M36</f>
        <v>1.78E-2</v>
      </c>
      <c r="N37" s="80">
        <f>L37*(M37+1)</f>
        <v>2410.1120747032351</v>
      </c>
      <c r="O37" s="133"/>
    </row>
    <row r="38" spans="2:15">
      <c r="E38" s="134" t="s">
        <v>127</v>
      </c>
      <c r="F38" s="1235">
        <v>3818</v>
      </c>
      <c r="G38" s="1235"/>
      <c r="H38" s="135">
        <f>F38*(1.0972)</f>
        <v>4189.1095999999998</v>
      </c>
      <c r="I38" s="136" t="s">
        <v>106</v>
      </c>
      <c r="J38" s="130">
        <f>'[12]CAF Sp. 2016'!BD26</f>
        <v>2.6438643292682744E-2</v>
      </c>
      <c r="K38" s="80">
        <f t="shared" si="2"/>
        <v>4299.8639744283519</v>
      </c>
      <c r="L38" s="80">
        <f t="shared" si="0"/>
        <v>4380.2714307501619</v>
      </c>
      <c r="M38" s="130">
        <f>M37</f>
        <v>1.78E-2</v>
      </c>
      <c r="N38" s="80">
        <f>L38*(M38+1)</f>
        <v>4458.240262217515</v>
      </c>
      <c r="O38" s="133"/>
    </row>
    <row r="39" spans="2:15">
      <c r="E39" s="134" t="s">
        <v>128</v>
      </c>
      <c r="F39" s="1235">
        <v>1218</v>
      </c>
      <c r="G39" s="1235"/>
      <c r="H39" s="135">
        <f>F39*(1.0972)</f>
        <v>1336.3896</v>
      </c>
      <c r="I39" s="136" t="s">
        <v>106</v>
      </c>
      <c r="J39" s="130">
        <f>'[12]CAF Sp. 2016'!BD26</f>
        <v>2.6438643292682744E-2</v>
      </c>
      <c r="K39" s="80">
        <f t="shared" si="2"/>
        <v>1371.7219279344508</v>
      </c>
      <c r="L39" s="80">
        <f t="shared" si="0"/>
        <v>1397.373127986825</v>
      </c>
      <c r="M39" s="130">
        <f>M38</f>
        <v>1.78E-2</v>
      </c>
      <c r="N39" s="80">
        <f>L39*(M39+1)</f>
        <v>1422.2463696649907</v>
      </c>
      <c r="O39" s="133"/>
    </row>
    <row r="40" spans="2:15">
      <c r="E40" s="154"/>
      <c r="F40" s="1251"/>
      <c r="G40" s="1251"/>
      <c r="H40" s="122"/>
      <c r="I40" s="138"/>
      <c r="J40" s="138"/>
      <c r="K40" s="139"/>
      <c r="L40" s="140"/>
      <c r="M40" s="138"/>
      <c r="N40" s="80"/>
      <c r="O40" s="133"/>
    </row>
    <row r="41" spans="2:15">
      <c r="B41" s="1233"/>
      <c r="C41" s="1233"/>
      <c r="E41" s="1260" t="s">
        <v>129</v>
      </c>
      <c r="F41" s="1261">
        <v>428</v>
      </c>
      <c r="G41" s="1262"/>
      <c r="H41" s="1265">
        <f>F41*(1.0972)</f>
        <v>469.60159999999996</v>
      </c>
      <c r="I41" s="1255" t="s">
        <v>106</v>
      </c>
      <c r="J41" s="1242">
        <f>'[12]CAF Sp. 2016'!BD26</f>
        <v>2.6438643292682744E-2</v>
      </c>
      <c r="K41" s="1240">
        <f>H41*(J41+1)</f>
        <v>482.01722919207299</v>
      </c>
      <c r="L41" s="1240">
        <f>K41*($M$1+1)</f>
        <v>491.0309513779647</v>
      </c>
      <c r="M41" s="1258">
        <f>M39</f>
        <v>1.78E-2</v>
      </c>
      <c r="N41" s="155"/>
      <c r="O41" s="133"/>
    </row>
    <row r="42" spans="2:15" ht="15.6" customHeight="1">
      <c r="B42" s="1233"/>
      <c r="C42" s="1233"/>
      <c r="E42" s="1234"/>
      <c r="F42" s="1263"/>
      <c r="G42" s="1264"/>
      <c r="H42" s="1266"/>
      <c r="I42" s="1254"/>
      <c r="J42" s="1256"/>
      <c r="K42" s="1241"/>
      <c r="L42" s="1257"/>
      <c r="M42" s="1259"/>
      <c r="N42" s="131">
        <f>L41*(M41+1)</f>
        <v>499.77130231249248</v>
      </c>
      <c r="O42" s="133"/>
    </row>
    <row r="43" spans="2:15">
      <c r="E43" s="134" t="s">
        <v>130</v>
      </c>
      <c r="F43" s="1235">
        <v>1094</v>
      </c>
      <c r="G43" s="1235"/>
      <c r="H43" s="135">
        <f>F43*(1.0972)</f>
        <v>1200.3368</v>
      </c>
      <c r="I43" s="136" t="s">
        <v>106</v>
      </c>
      <c r="J43" s="130">
        <f>'[12]CAF Sp. 2016'!BD26</f>
        <v>2.6438643292682744E-2</v>
      </c>
      <c r="K43" s="80">
        <f t="shared" si="2"/>
        <v>1232.0720764862801</v>
      </c>
      <c r="L43" s="80">
        <f t="shared" si="0"/>
        <v>1255.1118243165736</v>
      </c>
      <c r="M43" s="130">
        <f>M41</f>
        <v>1.78E-2</v>
      </c>
      <c r="N43" s="80">
        <f>L43*(M43+1)</f>
        <v>1277.4528147894086</v>
      </c>
      <c r="O43" s="133"/>
    </row>
    <row r="44" spans="2:15">
      <c r="E44" s="134" t="s">
        <v>131</v>
      </c>
      <c r="F44" s="156"/>
      <c r="G44" s="156"/>
      <c r="H44" s="157"/>
      <c r="I44" s="158"/>
      <c r="J44" s="159"/>
      <c r="K44" s="80">
        <v>337.85</v>
      </c>
      <c r="L44" s="80">
        <f t="shared" si="0"/>
        <v>344.16779500000001</v>
      </c>
      <c r="M44" s="130">
        <f>M43</f>
        <v>1.78E-2</v>
      </c>
      <c r="N44" s="80">
        <f>L44*(M44+1)</f>
        <v>350.29398175100005</v>
      </c>
      <c r="O44" s="133"/>
    </row>
    <row r="45" spans="2:15">
      <c r="E45" s="142" t="s">
        <v>132</v>
      </c>
      <c r="F45" s="1235">
        <v>372</v>
      </c>
      <c r="G45" s="1235"/>
      <c r="H45" s="135">
        <f>F45*(1.0972)</f>
        <v>408.15839999999997</v>
      </c>
      <c r="I45" s="136" t="s">
        <v>106</v>
      </c>
      <c r="J45" s="130">
        <f>'[12]CAF Sp. 2016'!BD26</f>
        <v>2.6438643292682744E-2</v>
      </c>
      <c r="K45" s="80">
        <f t="shared" si="2"/>
        <v>418.94955434451202</v>
      </c>
      <c r="L45" s="80">
        <f t="shared" si="0"/>
        <v>426.78391101075437</v>
      </c>
      <c r="M45" s="130">
        <f>M44</f>
        <v>1.78E-2</v>
      </c>
      <c r="N45" s="80">
        <f>L45*(M45+1)</f>
        <v>434.38066462674578</v>
      </c>
      <c r="O45" s="133"/>
    </row>
    <row r="46" spans="2:15">
      <c r="E46" s="142" t="s">
        <v>133</v>
      </c>
      <c r="F46" s="156"/>
      <c r="G46" s="156"/>
      <c r="H46" s="157"/>
      <c r="I46" s="158"/>
      <c r="J46" s="159"/>
      <c r="K46" s="80">
        <v>231.99</v>
      </c>
      <c r="L46" s="80">
        <f t="shared" si="0"/>
        <v>236.32821300000001</v>
      </c>
      <c r="M46" s="130">
        <f>M45</f>
        <v>1.78E-2</v>
      </c>
      <c r="N46" s="80">
        <f>L46*(M46+1)</f>
        <v>240.53485519140003</v>
      </c>
      <c r="O46" s="133"/>
    </row>
    <row r="47" spans="2:15">
      <c r="E47" s="142" t="s">
        <v>134</v>
      </c>
      <c r="F47" s="1235">
        <v>970</v>
      </c>
      <c r="G47" s="1235"/>
      <c r="H47" s="135">
        <f>F47*(1.0972)</f>
        <v>1064.2839999999999</v>
      </c>
      <c r="I47" s="136" t="s">
        <v>106</v>
      </c>
      <c r="J47" s="130">
        <f>'[12]CAF Sp. 2016'!BD26</f>
        <v>2.6438643292682744E-2</v>
      </c>
      <c r="K47" s="80">
        <f t="shared" si="2"/>
        <v>1092.4222250381092</v>
      </c>
      <c r="L47" s="80">
        <f t="shared" si="0"/>
        <v>1112.8505206463217</v>
      </c>
      <c r="M47" s="130">
        <f>M46</f>
        <v>1.78E-2</v>
      </c>
      <c r="N47" s="80">
        <f>L47*(M47+1)</f>
        <v>1132.6592599138262</v>
      </c>
      <c r="O47" s="133"/>
    </row>
    <row r="48" spans="2:15" ht="17.25" customHeight="1">
      <c r="E48" s="137" t="s">
        <v>135</v>
      </c>
      <c r="F48" s="1251"/>
      <c r="G48" s="1251"/>
      <c r="H48" s="122"/>
      <c r="I48" s="149"/>
      <c r="J48" s="149"/>
      <c r="K48" s="139"/>
      <c r="L48" s="140"/>
      <c r="M48" s="149"/>
      <c r="N48" s="80"/>
      <c r="O48" s="133"/>
    </row>
    <row r="49" spans="5:18">
      <c r="E49" s="142" t="s">
        <v>136</v>
      </c>
      <c r="F49" s="1235">
        <v>4128</v>
      </c>
      <c r="G49" s="1235"/>
      <c r="H49" s="135">
        <f>F49*(1.0972)</f>
        <v>4529.2415999999994</v>
      </c>
      <c r="I49" s="136" t="s">
        <v>106</v>
      </c>
      <c r="J49" s="130">
        <f>'[12]CAF Sp. 2016'!BD26</f>
        <v>2.6438643292682744E-2</v>
      </c>
      <c r="K49" s="80">
        <f t="shared" si="2"/>
        <v>4648.9886030487787</v>
      </c>
      <c r="L49" s="80">
        <f t="shared" si="0"/>
        <v>4735.9246899257905</v>
      </c>
      <c r="M49" s="130">
        <f>M47</f>
        <v>1.78E-2</v>
      </c>
      <c r="N49" s="80">
        <f>L49*(M49+1)</f>
        <v>4820.2241494064701</v>
      </c>
      <c r="O49" s="133"/>
    </row>
    <row r="50" spans="5:18">
      <c r="E50" s="142" t="s">
        <v>137</v>
      </c>
      <c r="F50" s="1235">
        <v>1460</v>
      </c>
      <c r="G50" s="1235"/>
      <c r="H50" s="135">
        <f>F50*(1.0972)</f>
        <v>1601.912</v>
      </c>
      <c r="I50" s="136" t="s">
        <v>106</v>
      </c>
      <c r="J50" s="130">
        <f>'[12]CAF Sp. 2016'!BD26</f>
        <v>2.6438643292682744E-2</v>
      </c>
      <c r="K50" s="80">
        <f t="shared" si="2"/>
        <v>1644.264379954268</v>
      </c>
      <c r="L50" s="80">
        <f t="shared" si="0"/>
        <v>1675.0121238594127</v>
      </c>
      <c r="M50" s="130">
        <f>M49</f>
        <v>1.78E-2</v>
      </c>
      <c r="N50" s="80">
        <f>L50*(M50+1)</f>
        <v>1704.8273396641102</v>
      </c>
      <c r="O50" s="133"/>
    </row>
    <row r="51" spans="5:18">
      <c r="E51" s="160" t="s">
        <v>138</v>
      </c>
      <c r="F51" s="1251"/>
      <c r="G51" s="1251"/>
      <c r="H51" s="122"/>
      <c r="I51" s="139"/>
      <c r="J51" s="139"/>
      <c r="K51" s="139"/>
      <c r="L51" s="140"/>
      <c r="M51" s="141"/>
      <c r="N51" s="80"/>
      <c r="O51" s="133"/>
    </row>
    <row r="52" spans="5:18">
      <c r="E52" s="142" t="s">
        <v>139</v>
      </c>
      <c r="F52" s="1235">
        <v>1460</v>
      </c>
      <c r="G52" s="1235"/>
      <c r="H52" s="135">
        <f>F52*(1.0972)</f>
        <v>1601.912</v>
      </c>
      <c r="I52" s="136" t="s">
        <v>106</v>
      </c>
      <c r="J52" s="130">
        <f>'[12]CAF Sp. 2016'!BD26</f>
        <v>2.6438643292682744E-2</v>
      </c>
      <c r="K52" s="80">
        <f t="shared" si="2"/>
        <v>1644.264379954268</v>
      </c>
      <c r="L52" s="80">
        <f t="shared" si="0"/>
        <v>1675.0121238594127</v>
      </c>
      <c r="M52" s="130">
        <f>M50</f>
        <v>1.78E-2</v>
      </c>
      <c r="N52" s="80">
        <f>L52*(M52+1)</f>
        <v>1704.8273396641102</v>
      </c>
      <c r="O52" s="133"/>
    </row>
    <row r="53" spans="5:18">
      <c r="E53" s="142" t="s">
        <v>140</v>
      </c>
      <c r="F53" s="1235">
        <v>1460</v>
      </c>
      <c r="G53" s="1235"/>
      <c r="H53" s="135">
        <f>F53*(1.0972)</f>
        <v>1601.912</v>
      </c>
      <c r="I53" s="136" t="s">
        <v>106</v>
      </c>
      <c r="J53" s="130">
        <f>'[12]CAF Sp. 2016'!BD26</f>
        <v>2.6438643292682744E-2</v>
      </c>
      <c r="K53" s="80">
        <f>H53*(J53+1)</f>
        <v>1644.264379954268</v>
      </c>
      <c r="L53" s="80">
        <f t="shared" si="0"/>
        <v>1675.0121238594127</v>
      </c>
      <c r="M53" s="130">
        <f>M52</f>
        <v>1.78E-2</v>
      </c>
      <c r="N53" s="80">
        <f>L53*(M53+1)</f>
        <v>1704.8273396641102</v>
      </c>
      <c r="O53" s="133"/>
    </row>
    <row r="54" spans="5:18">
      <c r="E54" s="160" t="s">
        <v>141</v>
      </c>
      <c r="F54" s="1251"/>
      <c r="G54" s="1251"/>
      <c r="H54" s="139"/>
      <c r="I54" s="139"/>
      <c r="J54" s="139"/>
      <c r="K54" s="139"/>
      <c r="L54" s="140"/>
      <c r="M54" s="141"/>
      <c r="N54" s="80"/>
      <c r="O54" s="133"/>
    </row>
    <row r="55" spans="5:18" ht="24" customHeight="1">
      <c r="E55" s="142"/>
      <c r="F55" s="1267" t="s">
        <v>142</v>
      </c>
      <c r="G55" s="1267"/>
      <c r="H55" s="161" t="s">
        <v>143</v>
      </c>
      <c r="I55" s="162" t="s">
        <v>144</v>
      </c>
      <c r="J55" s="163">
        <f>'[12]CAF Sp. 2016'!BD26</f>
        <v>2.6438643292682744E-2</v>
      </c>
      <c r="K55" s="164">
        <f>44.8*(J55+1)</f>
        <v>45.984451219512181</v>
      </c>
      <c r="L55" s="80">
        <f t="shared" si="0"/>
        <v>46.844360457317059</v>
      </c>
      <c r="M55" s="130">
        <f>M53</f>
        <v>1.78E-2</v>
      </c>
      <c r="N55" s="80">
        <f>L55*(M55+1)</f>
        <v>47.678190073457301</v>
      </c>
      <c r="O55" s="133"/>
    </row>
    <row r="56" spans="5:18">
      <c r="E56" s="160" t="s">
        <v>145</v>
      </c>
      <c r="F56" s="1251"/>
      <c r="G56" s="1251"/>
      <c r="H56" s="121"/>
      <c r="I56" s="121"/>
      <c r="J56" s="121"/>
      <c r="K56" s="140"/>
      <c r="L56" s="140"/>
      <c r="M56" s="165"/>
      <c r="N56" s="80"/>
      <c r="O56" s="133"/>
    </row>
    <row r="57" spans="5:18" ht="17.25" customHeight="1">
      <c r="E57" s="142" t="s">
        <v>146</v>
      </c>
      <c r="F57" s="1235">
        <v>1641</v>
      </c>
      <c r="G57" s="1235"/>
      <c r="H57" s="166">
        <f>(F47/2+F57)</f>
        <v>2126</v>
      </c>
      <c r="I57" s="167" t="s">
        <v>147</v>
      </c>
      <c r="J57" s="130">
        <f>'[12]CAF Sp. 2016'!BD26</f>
        <v>2.6438643292682744E-2</v>
      </c>
      <c r="K57" s="80">
        <f>H57*(J57+1)</f>
        <v>2182.2085556402435</v>
      </c>
      <c r="L57" s="80">
        <f t="shared" si="0"/>
        <v>2223.015855630716</v>
      </c>
      <c r="M57" s="130">
        <f>M55</f>
        <v>1.78E-2</v>
      </c>
      <c r="N57" s="80">
        <f>L57*(M57+1)</f>
        <v>2262.5855378609431</v>
      </c>
      <c r="O57" s="133"/>
    </row>
    <row r="58" spans="5:18">
      <c r="E58" s="134" t="s">
        <v>148</v>
      </c>
      <c r="F58" s="1235">
        <v>428</v>
      </c>
      <c r="G58" s="1235"/>
      <c r="H58" s="168">
        <f>F58*(1.0972)</f>
        <v>469.60159999999996</v>
      </c>
      <c r="I58" s="1269" t="s">
        <v>106</v>
      </c>
      <c r="J58" s="130">
        <f>'[12]CAF Sp. 2016'!BD26</f>
        <v>2.6438643292682744E-2</v>
      </c>
      <c r="K58" s="80">
        <f>H58*(J58+1)</f>
        <v>482.01722919207299</v>
      </c>
      <c r="L58" s="80">
        <f t="shared" si="0"/>
        <v>491.0309513779647</v>
      </c>
      <c r="M58" s="130">
        <f>M57</f>
        <v>1.78E-2</v>
      </c>
      <c r="N58" s="80">
        <f>L58*(M58+1)</f>
        <v>499.77130231249248</v>
      </c>
      <c r="O58" s="133"/>
    </row>
    <row r="59" spans="5:18">
      <c r="E59" s="142" t="s">
        <v>149</v>
      </c>
      <c r="F59" s="1235">
        <v>3406</v>
      </c>
      <c r="G59" s="1235"/>
      <c r="H59" s="168">
        <f>F59*(1.0972)</f>
        <v>3737.0632000000001</v>
      </c>
      <c r="I59" s="1269"/>
      <c r="J59" s="130">
        <f>'[12]CAF Sp. 2016'!BD26</f>
        <v>2.6438643292682744E-2</v>
      </c>
      <c r="K59" s="80">
        <f>H59*(J59+1)</f>
        <v>3835.8660809070111</v>
      </c>
      <c r="L59" s="80">
        <f t="shared" si="0"/>
        <v>3907.5967766199719</v>
      </c>
      <c r="M59" s="130">
        <f>M58</f>
        <v>1.78E-2</v>
      </c>
      <c r="N59" s="80">
        <f>L59*(M58+1)</f>
        <v>3977.1519992438075</v>
      </c>
      <c r="O59" s="133"/>
    </row>
    <row r="60" spans="5:18" ht="14.45" hidden="1" customHeight="1">
      <c r="E60" s="169" t="s">
        <v>150</v>
      </c>
      <c r="F60" s="170"/>
      <c r="G60" s="170"/>
      <c r="H60" s="168"/>
      <c r="I60" s="171"/>
      <c r="J60" s="130"/>
      <c r="K60" s="172">
        <f>K59/12</f>
        <v>319.65550674225091</v>
      </c>
      <c r="L60" s="80">
        <f t="shared" si="0"/>
        <v>325.63306471833096</v>
      </c>
      <c r="M60" s="130">
        <f>'[12]CAF Sp. 2016'!BG27</f>
        <v>0</v>
      </c>
      <c r="N60" s="80" t="e">
        <f>#REF!*($M$1+1)</f>
        <v>#REF!</v>
      </c>
      <c r="O60" s="133"/>
    </row>
    <row r="61" spans="5:18">
      <c r="E61" s="173" t="s">
        <v>151</v>
      </c>
      <c r="F61" s="1251"/>
      <c r="G61" s="1251"/>
      <c r="H61" s="174"/>
      <c r="I61" s="123"/>
      <c r="J61" s="123"/>
      <c r="K61" s="124"/>
      <c r="L61" s="140"/>
      <c r="M61" s="141"/>
      <c r="N61" s="80"/>
      <c r="O61" s="133"/>
    </row>
    <row r="62" spans="5:18" s="179" customFormat="1" ht="30.6" customHeight="1">
      <c r="E62" s="175" t="s">
        <v>152</v>
      </c>
      <c r="F62" s="1270">
        <v>1000</v>
      </c>
      <c r="G62" s="1270"/>
      <c r="H62" s="176">
        <v>1475</v>
      </c>
      <c r="I62" s="177" t="s">
        <v>153</v>
      </c>
      <c r="J62" s="178">
        <f>'[12]CAF Sp. 2016'!BD26</f>
        <v>2.6438643292682744E-2</v>
      </c>
      <c r="K62" s="155">
        <f>H62*(J62+1)+61.56</f>
        <v>1575.5569988567067</v>
      </c>
      <c r="L62" s="80">
        <f>K62*($M$1+1)</f>
        <v>1605.0199147353271</v>
      </c>
      <c r="M62" s="130">
        <f>M59</f>
        <v>1.78E-2</v>
      </c>
      <c r="N62" s="80">
        <f>L62*(M62+1)</f>
        <v>1633.589269217616</v>
      </c>
      <c r="O62" s="133"/>
      <c r="P62"/>
      <c r="Q62"/>
      <c r="R62"/>
    </row>
    <row r="63" spans="5:18" s="179" customFormat="1" ht="20.45" customHeight="1">
      <c r="E63" s="180" t="s">
        <v>154</v>
      </c>
      <c r="F63" s="181"/>
      <c r="G63" s="181"/>
      <c r="H63" s="182"/>
      <c r="I63" s="183"/>
      <c r="J63" s="184"/>
      <c r="K63" s="185">
        <v>25.23</v>
      </c>
      <c r="L63" s="80">
        <f>(K63+1.35)*($M$1+1)</f>
        <v>27.077045999999999</v>
      </c>
      <c r="M63" s="130">
        <f>M62</f>
        <v>1.78E-2</v>
      </c>
      <c r="N63" s="80">
        <f>L63*(M63+1)</f>
        <v>27.5590174188</v>
      </c>
      <c r="O63" s="133"/>
      <c r="P63" s="186"/>
      <c r="Q63" s="186"/>
      <c r="R63" s="186"/>
    </row>
    <row r="64" spans="5:18" ht="25.15" customHeight="1">
      <c r="E64" s="187"/>
      <c r="F64" s="188"/>
      <c r="G64" s="188"/>
      <c r="H64" s="189"/>
      <c r="I64" s="187"/>
      <c r="M64" s="191"/>
      <c r="N64" s="190"/>
    </row>
    <row r="65" spans="5:18" ht="24.75" customHeight="1">
      <c r="E65" s="1271" t="s">
        <v>155</v>
      </c>
      <c r="F65" s="1271"/>
      <c r="G65" s="1271"/>
      <c r="H65" s="1271"/>
      <c r="N65" s="190"/>
    </row>
    <row r="66" spans="5:18" ht="27.75" customHeight="1">
      <c r="E66" s="116" t="s">
        <v>97</v>
      </c>
      <c r="F66" s="117" t="s">
        <v>156</v>
      </c>
      <c r="G66" s="1268" t="s">
        <v>157</v>
      </c>
      <c r="H66" s="1268"/>
      <c r="J66" s="116" t="s">
        <v>51</v>
      </c>
      <c r="K66" s="192" t="s">
        <v>158</v>
      </c>
      <c r="L66" s="193" t="s">
        <v>159</v>
      </c>
      <c r="M66" s="194"/>
      <c r="N66" s="120" t="s">
        <v>160</v>
      </c>
    </row>
    <row r="67" spans="5:18">
      <c r="E67" s="195" t="s">
        <v>161</v>
      </c>
      <c r="F67" s="196">
        <f>+'[13]Support Model Budgets'!O37</f>
        <v>61289.181468079216</v>
      </c>
      <c r="G67" s="1267" t="s">
        <v>162</v>
      </c>
      <c r="H67" s="1267"/>
      <c r="J67" s="163">
        <f>'[12]CAF Sp. 2016'!BD26</f>
        <v>2.6438643292682744E-2</v>
      </c>
      <c r="K67" s="197">
        <f t="shared" ref="K67:K70" si="3">F67*(J67+1)</f>
        <v>62909.584274614259</v>
      </c>
      <c r="L67" s="198">
        <f>K67*($M$1+1)</f>
        <v>64085.993500549543</v>
      </c>
      <c r="M67" s="199"/>
      <c r="N67" s="198">
        <f>'[11]AMSS &amp; Support Model Rebased'!O26</f>
        <v>65540.366281943556</v>
      </c>
      <c r="O67" s="200"/>
      <c r="P67" s="201"/>
      <c r="Q67" s="42"/>
      <c r="R67" s="85"/>
    </row>
    <row r="68" spans="5:18">
      <c r="E68" s="195" t="s">
        <v>163</v>
      </c>
      <c r="F68" s="202">
        <f>+'[13]Support Model Budgets'!AG33</f>
        <v>47.595980860001433</v>
      </c>
      <c r="G68" s="1267" t="s">
        <v>164</v>
      </c>
      <c r="H68" s="1267"/>
      <c r="J68" s="163">
        <f>'[12]CAF Sp. 2016'!BD26</f>
        <v>2.6438643292682744E-2</v>
      </c>
      <c r="K68" s="203">
        <f t="shared" si="3"/>
        <v>48.854354020124362</v>
      </c>
      <c r="L68" s="164">
        <f t="shared" ref="L68:L70" si="4">K68*($M$1+1)</f>
        <v>49.767930440300681</v>
      </c>
      <c r="M68" s="199"/>
      <c r="N68" s="164">
        <f>'[11]AMSS &amp; Support Model Rebased'!AD22</f>
        <v>51.51412547873133</v>
      </c>
      <c r="O68" s="200"/>
      <c r="P68" s="42"/>
      <c r="Q68" s="42"/>
      <c r="R68" s="85"/>
    </row>
    <row r="69" spans="5:18">
      <c r="E69" s="195" t="s">
        <v>165</v>
      </c>
      <c r="F69" s="196">
        <f>+'[13]Support Model Budgets'!U38</f>
        <v>133898.4283257552</v>
      </c>
      <c r="G69" s="1267" t="s">
        <v>166</v>
      </c>
      <c r="H69" s="1267"/>
      <c r="J69" s="163">
        <f>'[12]CAF Sp. 2016'!BD26</f>
        <v>2.6438643292682744E-2</v>
      </c>
      <c r="K69" s="197">
        <f>F69*(J69+1)</f>
        <v>137438.52110971068</v>
      </c>
      <c r="L69" s="198">
        <f t="shared" si="4"/>
        <v>140008.62145446226</v>
      </c>
      <c r="M69" s="199"/>
      <c r="N69" s="198">
        <f>'[11]AMSS &amp; Support Model Rebased'!T28</f>
        <v>143108.11861518814</v>
      </c>
      <c r="O69" s="200"/>
      <c r="P69" s="42"/>
      <c r="Q69" s="42"/>
      <c r="R69" s="85"/>
    </row>
    <row r="70" spans="5:18">
      <c r="E70" s="204" t="s">
        <v>167</v>
      </c>
      <c r="F70" s="202">
        <f>+'[13]Support Model Budgets'!AS39</f>
        <v>284.64072278252075</v>
      </c>
      <c r="G70" s="1267" t="s">
        <v>168</v>
      </c>
      <c r="H70" s="1267"/>
      <c r="J70" s="163">
        <f>'[12]CAF Sp. 2016'!BD26</f>
        <v>2.6438643292682744E-2</v>
      </c>
      <c r="K70" s="203">
        <f t="shared" si="3"/>
        <v>292.16623731873921</v>
      </c>
      <c r="L70" s="164">
        <f t="shared" si="4"/>
        <v>297.62974595659961</v>
      </c>
      <c r="M70" s="199"/>
      <c r="N70" s="164">
        <f>'[11]AMSS &amp; Support Model Rebased'!AN31</f>
        <v>304.12413126133845</v>
      </c>
      <c r="O70" s="200"/>
      <c r="P70" s="42"/>
      <c r="Q70" s="42"/>
      <c r="R70" s="85"/>
    </row>
    <row r="71" spans="5:18">
      <c r="E71" s="204" t="s">
        <v>169</v>
      </c>
      <c r="F71" s="196">
        <f>+'[13]Support Model Budgets'!AA38</f>
        <v>142626.72724964569</v>
      </c>
      <c r="G71" s="1267" t="s">
        <v>166</v>
      </c>
      <c r="H71" s="1267"/>
      <c r="J71" s="163">
        <f>'[12]CAF Sp. 2016'!BD26</f>
        <v>2.6438643292682744E-2</v>
      </c>
      <c r="K71" s="197">
        <v>152004</v>
      </c>
      <c r="L71" s="198">
        <f>'[14]AMSS &amp; Support Model Current'!AA46</f>
        <v>154371.34945195619</v>
      </c>
      <c r="M71" s="199"/>
      <c r="N71" s="198">
        <f>'[11]AMSS &amp; Support Model Rebased'!Y36</f>
        <v>165155.73784115762</v>
      </c>
      <c r="O71" s="200"/>
      <c r="P71" s="42"/>
      <c r="Q71" s="42"/>
      <c r="R71" s="85"/>
    </row>
    <row r="73" spans="5:18">
      <c r="P73" s="85"/>
      <c r="Q73" s="85"/>
      <c r="R73" s="85"/>
    </row>
    <row r="74" spans="5:18">
      <c r="O74" s="34"/>
    </row>
    <row r="75" spans="5:18">
      <c r="K75" s="190"/>
      <c r="L75" s="113"/>
    </row>
    <row r="76" spans="5:18">
      <c r="F76" s="44"/>
      <c r="G76" s="44"/>
      <c r="H76" s="44"/>
      <c r="I76" s="44"/>
      <c r="J76" s="205"/>
      <c r="K76" s="205"/>
      <c r="L76" s="205"/>
      <c r="M76" s="83"/>
      <c r="P76" s="85"/>
      <c r="Q76" s="85"/>
      <c r="R76" s="85"/>
    </row>
    <row r="77" spans="5:18">
      <c r="F77" s="44"/>
      <c r="G77" s="206"/>
      <c r="H77" s="207"/>
      <c r="I77" s="208"/>
      <c r="J77" s="44"/>
      <c r="K77" s="205"/>
      <c r="L77" s="209"/>
      <c r="M77" s="83"/>
    </row>
    <row r="78" spans="5:18">
      <c r="F78" s="44"/>
      <c r="G78" s="210"/>
      <c r="H78" s="210"/>
      <c r="I78" s="44"/>
      <c r="J78" s="44"/>
      <c r="K78" s="82"/>
      <c r="L78" s="211"/>
      <c r="M78" s="83"/>
    </row>
    <row r="79" spans="5:18">
      <c r="F79" s="44"/>
      <c r="G79" s="44"/>
      <c r="H79" s="44"/>
      <c r="I79" s="44"/>
      <c r="J79" s="44"/>
      <c r="K79" s="212"/>
      <c r="L79" s="211"/>
      <c r="M79" s="83"/>
    </row>
    <row r="80" spans="5:18">
      <c r="F80" s="44"/>
      <c r="G80" s="44"/>
      <c r="H80" s="44"/>
      <c r="I80" s="44"/>
      <c r="J80" s="44"/>
      <c r="K80" s="212"/>
      <c r="L80" s="211"/>
      <c r="M80" s="83"/>
    </row>
    <row r="81" spans="5:13">
      <c r="F81" s="44"/>
      <c r="G81" s="44"/>
      <c r="H81" s="44"/>
      <c r="I81" s="44"/>
      <c r="J81" s="213"/>
      <c r="K81" s="212"/>
      <c r="L81" s="205"/>
      <c r="M81" s="83"/>
    </row>
    <row r="82" spans="5:13">
      <c r="E82" s="214"/>
      <c r="F82" s="44"/>
      <c r="G82" s="44"/>
      <c r="H82" s="44"/>
      <c r="I82" s="44"/>
      <c r="J82" s="44"/>
      <c r="K82" s="212"/>
      <c r="L82" s="205"/>
      <c r="M82" s="83"/>
    </row>
    <row r="83" spans="5:13">
      <c r="F83" s="44"/>
      <c r="G83" s="44"/>
      <c r="H83" s="44"/>
      <c r="I83" s="44"/>
      <c r="J83" s="44"/>
      <c r="K83" s="212"/>
      <c r="L83" s="205"/>
      <c r="M83" s="83"/>
    </row>
    <row r="84" spans="5:13">
      <c r="F84" s="215"/>
      <c r="G84" s="215"/>
      <c r="H84" s="216"/>
      <c r="I84" s="44"/>
      <c r="J84" s="44"/>
      <c r="K84" s="217"/>
      <c r="L84" s="205"/>
      <c r="M84" s="83"/>
    </row>
    <row r="85" spans="5:13">
      <c r="F85" s="218"/>
      <c r="G85" s="219"/>
      <c r="H85" s="207"/>
      <c r="I85" s="44"/>
      <c r="J85" s="112"/>
      <c r="K85" s="82"/>
      <c r="L85" s="205"/>
      <c r="M85" s="83"/>
    </row>
    <row r="86" spans="5:13">
      <c r="F86" s="218"/>
      <c r="G86" s="219"/>
      <c r="H86" s="207"/>
      <c r="I86" s="44"/>
      <c r="J86" s="112"/>
      <c r="K86" s="82"/>
      <c r="L86" s="205"/>
      <c r="M86" s="83"/>
    </row>
    <row r="87" spans="5:13">
      <c r="F87" s="216"/>
      <c r="G87" s="207"/>
      <c r="H87" s="44"/>
      <c r="I87" s="44"/>
      <c r="J87" s="44"/>
      <c r="K87" s="82"/>
      <c r="L87" s="205"/>
      <c r="M87" s="83"/>
    </row>
    <row r="88" spans="5:13">
      <c r="F88" s="44"/>
      <c r="G88" s="44"/>
      <c r="H88" s="44"/>
      <c r="I88" s="44"/>
      <c r="J88" s="44"/>
      <c r="K88" s="212"/>
      <c r="L88" s="205"/>
      <c r="M88" s="83"/>
    </row>
    <row r="89" spans="5:13">
      <c r="F89" s="44"/>
      <c r="G89" s="44"/>
      <c r="H89" s="44"/>
      <c r="I89" s="44"/>
      <c r="J89" s="44"/>
      <c r="K89" s="212"/>
      <c r="L89" s="205"/>
      <c r="M89" s="83"/>
    </row>
    <row r="90" spans="5:13">
      <c r="F90" s="44"/>
      <c r="G90" s="44"/>
      <c r="H90" s="44"/>
      <c r="I90" s="44"/>
      <c r="J90" s="44"/>
      <c r="K90" s="212"/>
      <c r="L90" s="205"/>
      <c r="M90" s="83"/>
    </row>
  </sheetData>
  <mergeCells count="112">
    <mergeCell ref="G66:H66"/>
    <mergeCell ref="G67:H67"/>
    <mergeCell ref="G68:H68"/>
    <mergeCell ref="G69:H69"/>
    <mergeCell ref="G70:H70"/>
    <mergeCell ref="G71:H71"/>
    <mergeCell ref="F58:G58"/>
    <mergeCell ref="I58:I59"/>
    <mergeCell ref="F59:G59"/>
    <mergeCell ref="F61:G61"/>
    <mergeCell ref="F62:G62"/>
    <mergeCell ref="E65:H65"/>
    <mergeCell ref="F52:G52"/>
    <mergeCell ref="F53:G53"/>
    <mergeCell ref="F54:G54"/>
    <mergeCell ref="F55:G55"/>
    <mergeCell ref="F56:G56"/>
    <mergeCell ref="F57:G57"/>
    <mergeCell ref="F45:G45"/>
    <mergeCell ref="F47:G47"/>
    <mergeCell ref="F48:G48"/>
    <mergeCell ref="F49:G49"/>
    <mergeCell ref="F50:G50"/>
    <mergeCell ref="F51:G51"/>
    <mergeCell ref="I41:I42"/>
    <mergeCell ref="J41:J42"/>
    <mergeCell ref="K41:K42"/>
    <mergeCell ref="L41:L42"/>
    <mergeCell ref="M41:M42"/>
    <mergeCell ref="F43:G43"/>
    <mergeCell ref="F40:G40"/>
    <mergeCell ref="B41:B42"/>
    <mergeCell ref="C41:C42"/>
    <mergeCell ref="E41:E42"/>
    <mergeCell ref="F41:G42"/>
    <mergeCell ref="H41:H42"/>
    <mergeCell ref="N33:N34"/>
    <mergeCell ref="F35:G35"/>
    <mergeCell ref="F36:G36"/>
    <mergeCell ref="F37:G37"/>
    <mergeCell ref="F38:G38"/>
    <mergeCell ref="F39:G39"/>
    <mergeCell ref="H33:H34"/>
    <mergeCell ref="I33:I34"/>
    <mergeCell ref="J33:J34"/>
    <mergeCell ref="K33:K34"/>
    <mergeCell ref="L33:L34"/>
    <mergeCell ref="M33:M34"/>
    <mergeCell ref="F30:G30"/>
    <mergeCell ref="F31:G31"/>
    <mergeCell ref="F32:G32"/>
    <mergeCell ref="B33:B34"/>
    <mergeCell ref="C33:C34"/>
    <mergeCell ref="E33:E34"/>
    <mergeCell ref="F33:G34"/>
    <mergeCell ref="F23:G23"/>
    <mergeCell ref="F24:G24"/>
    <mergeCell ref="F25:G25"/>
    <mergeCell ref="F26:G26"/>
    <mergeCell ref="F27:G27"/>
    <mergeCell ref="F28:G28"/>
    <mergeCell ref="F21:G21"/>
    <mergeCell ref="F22:G22"/>
    <mergeCell ref="F11:G11"/>
    <mergeCell ref="F12:G12"/>
    <mergeCell ref="F13:G13"/>
    <mergeCell ref="F14:G14"/>
    <mergeCell ref="F15:G15"/>
    <mergeCell ref="F16:G16"/>
    <mergeCell ref="F29:G29"/>
    <mergeCell ref="K7:K8"/>
    <mergeCell ref="L7:L8"/>
    <mergeCell ref="M7:M8"/>
    <mergeCell ref="N7:N8"/>
    <mergeCell ref="I7:I8"/>
    <mergeCell ref="F17:G17"/>
    <mergeCell ref="F18:G18"/>
    <mergeCell ref="F19:G19"/>
    <mergeCell ref="F20:G20"/>
    <mergeCell ref="M5:M6"/>
    <mergeCell ref="N5:N6"/>
    <mergeCell ref="E1:I1"/>
    <mergeCell ref="F2:G2"/>
    <mergeCell ref="M2:M3"/>
    <mergeCell ref="F3:G3"/>
    <mergeCell ref="F4:G4"/>
    <mergeCell ref="B9:B10"/>
    <mergeCell ref="C9:C10"/>
    <mergeCell ref="E9:E10"/>
    <mergeCell ref="F9:G10"/>
    <mergeCell ref="H9:H10"/>
    <mergeCell ref="B7:B8"/>
    <mergeCell ref="C7:C8"/>
    <mergeCell ref="E7:E8"/>
    <mergeCell ref="F7:G8"/>
    <mergeCell ref="H7:H8"/>
    <mergeCell ref="I9:I10"/>
    <mergeCell ref="J9:J10"/>
    <mergeCell ref="K9:K10"/>
    <mergeCell ref="L9:L10"/>
    <mergeCell ref="M9:M10"/>
    <mergeCell ref="N9:N10"/>
    <mergeCell ref="J7:J8"/>
    <mergeCell ref="B5:B6"/>
    <mergeCell ref="C5:C6"/>
    <mergeCell ref="E5:E6"/>
    <mergeCell ref="F5:G6"/>
    <mergeCell ref="H5:H6"/>
    <mergeCell ref="I5:I6"/>
    <mergeCell ref="J5:J6"/>
    <mergeCell ref="K5:K6"/>
    <mergeCell ref="L5:L6"/>
  </mergeCells>
  <pageMargins left="0.25" right="0.25" top="0.5" bottom="0.5" header="0.3" footer="0.3"/>
  <pageSetup scale="70" orientation="landscape" r:id="rId1"/>
  <rowBreaks count="1" manualBreakCount="1">
    <brk id="64" min="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22"/>
  <sheetViews>
    <sheetView topLeftCell="A34" zoomScale="70" zoomScaleNormal="70" zoomScaleSheetLayoutView="50" workbookViewId="0">
      <selection activeCell="C4" sqref="C4:C7"/>
    </sheetView>
  </sheetViews>
  <sheetFormatPr defaultColWidth="46.5703125" defaultRowHeight="12.75"/>
  <cols>
    <col min="1" max="1" width="13.5703125" style="222" customWidth="1"/>
    <col min="2" max="2" width="36.5703125" style="222" customWidth="1"/>
    <col min="3" max="4" width="11" style="222" bestFit="1" customWidth="1"/>
    <col min="5" max="5" width="11" style="457" customWidth="1"/>
    <col min="6" max="6" width="51" style="222" customWidth="1"/>
    <col min="7" max="7" width="12.28515625" style="222" customWidth="1"/>
    <col min="8" max="8" width="25.5703125" style="222" customWidth="1"/>
    <col min="9" max="9" width="12.28515625" style="222" bestFit="1" customWidth="1"/>
    <col min="10" max="10" width="15.85546875" style="222" customWidth="1"/>
    <col min="11" max="11" width="15.42578125" style="222" customWidth="1"/>
    <col min="12" max="12" width="6" style="222" customWidth="1"/>
    <col min="13" max="13" width="25.42578125" style="222" customWidth="1"/>
    <col min="14" max="14" width="10.7109375" style="222" customWidth="1"/>
    <col min="15" max="15" width="13.42578125" style="222" customWidth="1"/>
    <col min="16" max="16" width="18.28515625" style="222" customWidth="1"/>
    <col min="17" max="17" width="7" style="222" customWidth="1"/>
    <col min="18" max="16384" width="46.5703125" style="222"/>
  </cols>
  <sheetData>
    <row r="1" spans="2:19" ht="15.75" thickBot="1">
      <c r="B1" s="220"/>
      <c r="C1" s="220"/>
      <c r="D1" s="220"/>
      <c r="E1" s="221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2:19" ht="19.5" thickBot="1">
      <c r="B2" s="1274" t="s">
        <v>170</v>
      </c>
      <c r="C2" s="1275"/>
      <c r="D2" s="1275"/>
      <c r="E2" s="1275"/>
      <c r="F2" s="1276"/>
      <c r="G2" s="223"/>
      <c r="H2" s="224"/>
      <c r="I2" s="224"/>
      <c r="J2" s="224"/>
      <c r="K2" s="224"/>
      <c r="L2" s="224"/>
      <c r="M2" s="1277"/>
      <c r="N2" s="1277"/>
      <c r="O2" s="1277"/>
      <c r="P2" s="1277"/>
      <c r="Q2" s="1277"/>
      <c r="R2" s="225"/>
    </row>
    <row r="3" spans="2:19" ht="16.5" customHeight="1" thickBot="1">
      <c r="B3" s="1278" t="s">
        <v>171</v>
      </c>
      <c r="C3" s="1279"/>
      <c r="D3" s="1280"/>
      <c r="E3" s="226"/>
      <c r="F3" s="227" t="s">
        <v>173</v>
      </c>
      <c r="G3" s="228" t="s">
        <v>174</v>
      </c>
      <c r="H3" s="1281" t="s">
        <v>175</v>
      </c>
      <c r="I3" s="1282"/>
      <c r="J3" s="1282"/>
      <c r="K3" s="1283"/>
      <c r="L3" s="229"/>
      <c r="M3" s="1281" t="s">
        <v>176</v>
      </c>
      <c r="N3" s="1282"/>
      <c r="O3" s="1282"/>
      <c r="P3" s="1283"/>
      <c r="Q3" s="230"/>
      <c r="R3" s="231"/>
      <c r="S3"/>
    </row>
    <row r="4" spans="2:19" ht="37.5">
      <c r="B4" s="232" t="s">
        <v>177</v>
      </c>
      <c r="C4" s="1221">
        <f>[11]Chart!C10</f>
        <v>43971.200000000004</v>
      </c>
      <c r="D4" s="1124"/>
      <c r="E4" s="1124"/>
      <c r="F4" s="235" t="s">
        <v>178</v>
      </c>
      <c r="G4" s="236"/>
      <c r="H4" s="237" t="s">
        <v>179</v>
      </c>
      <c r="I4" s="238">
        <v>8</v>
      </c>
      <c r="J4" s="239" t="s">
        <v>180</v>
      </c>
      <c r="K4" s="240">
        <v>2920</v>
      </c>
      <c r="L4" s="241"/>
      <c r="M4" s="242" t="s">
        <v>179</v>
      </c>
      <c r="N4" s="243">
        <v>5</v>
      </c>
      <c r="O4" s="244" t="s">
        <v>180</v>
      </c>
      <c r="P4" s="245">
        <v>1825</v>
      </c>
      <c r="Q4" s="246"/>
      <c r="R4" s="247"/>
      <c r="S4"/>
    </row>
    <row r="5" spans="2:19" ht="37.5">
      <c r="B5" s="232" t="s">
        <v>181</v>
      </c>
      <c r="C5" s="1222">
        <f>[11]Chart!C6</f>
        <v>41516.800000000003</v>
      </c>
      <c r="D5" s="1124"/>
      <c r="E5" s="1124"/>
      <c r="F5" s="235" t="s">
        <v>182</v>
      </c>
      <c r="G5" s="248"/>
      <c r="H5" s="249" t="s">
        <v>1</v>
      </c>
      <c r="I5" s="250" t="s">
        <v>183</v>
      </c>
      <c r="J5" s="250" t="s">
        <v>184</v>
      </c>
      <c r="K5" s="251" t="s">
        <v>185</v>
      </c>
      <c r="L5" s="250"/>
      <c r="M5" s="252" t="s">
        <v>1</v>
      </c>
      <c r="N5" s="253" t="s">
        <v>183</v>
      </c>
      <c r="O5" s="253" t="s">
        <v>184</v>
      </c>
      <c r="P5" s="254" t="s">
        <v>185</v>
      </c>
      <c r="Q5" s="239"/>
      <c r="R5" s="247"/>
      <c r="S5"/>
    </row>
    <row r="6" spans="2:19" ht="32.25">
      <c r="B6" s="255" t="s">
        <v>186</v>
      </c>
      <c r="C6" s="1222">
        <f>[11]Chart!C12</f>
        <v>52665.599999999999</v>
      </c>
      <c r="D6" s="1124"/>
      <c r="E6" s="1124"/>
      <c r="F6" s="235" t="s">
        <v>178</v>
      </c>
      <c r="G6" s="256"/>
      <c r="H6" s="804" t="str">
        <f>B4</f>
        <v>Family Resource Worker</v>
      </c>
      <c r="I6" s="1126">
        <f>C4</f>
        <v>43971.200000000004</v>
      </c>
      <c r="J6" s="258">
        <f>C11*I4</f>
        <v>0.32</v>
      </c>
      <c r="K6" s="1127">
        <f>J6*I6</f>
        <v>14070.784000000001</v>
      </c>
      <c r="L6" s="260"/>
      <c r="M6" s="804" t="str">
        <f>H6</f>
        <v>Family Resource Worker</v>
      </c>
      <c r="N6" s="1126">
        <f>C4</f>
        <v>43971.200000000004</v>
      </c>
      <c r="O6" s="258">
        <f>D11*N4</f>
        <v>0.5</v>
      </c>
      <c r="P6" s="1127">
        <f>O6*N6</f>
        <v>21985.600000000002</v>
      </c>
      <c r="Q6" s="261"/>
      <c r="R6" s="262"/>
      <c r="S6"/>
    </row>
    <row r="7" spans="2:19" ht="32.25">
      <c r="B7" s="232" t="s">
        <v>187</v>
      </c>
      <c r="C7" s="1222">
        <f>[11]Chart!C4</f>
        <v>32198.400000000001</v>
      </c>
      <c r="D7" s="1124"/>
      <c r="E7" s="1124"/>
      <c r="F7" s="235" t="s">
        <v>188</v>
      </c>
      <c r="G7" s="256"/>
      <c r="H7" s="804" t="str">
        <f>B5</f>
        <v>DC Supervisor</v>
      </c>
      <c r="I7" s="1126">
        <f>C5</f>
        <v>41516.800000000003</v>
      </c>
      <c r="J7" s="263">
        <f>C12*I4</f>
        <v>0.16666666666666666</v>
      </c>
      <c r="K7" s="1127">
        <f>J7*I7</f>
        <v>6919.4666666666672</v>
      </c>
      <c r="L7" s="260"/>
      <c r="M7" s="804" t="str">
        <f>H7</f>
        <v>DC Supervisor</v>
      </c>
      <c r="N7" s="1126">
        <f>C5</f>
        <v>41516.800000000003</v>
      </c>
      <c r="O7" s="258">
        <f>D12*N4</f>
        <v>0.25</v>
      </c>
      <c r="P7" s="1127">
        <f>O7*N7</f>
        <v>10379.200000000001</v>
      </c>
      <c r="Q7" s="261"/>
      <c r="R7" s="262"/>
      <c r="S7"/>
    </row>
    <row r="8" spans="2:19" ht="37.5">
      <c r="B8" s="264" t="s">
        <v>189</v>
      </c>
      <c r="C8" s="265">
        <f>52305.4063*(3.93%+1)*(2.64%+1)*(1.87%+1)</f>
        <v>56839.527205816688</v>
      </c>
      <c r="D8" s="266"/>
      <c r="E8" s="267"/>
      <c r="F8" s="268" t="s">
        <v>190</v>
      </c>
      <c r="G8" s="256"/>
      <c r="H8" s="1128" t="str">
        <f t="shared" ref="H8:I10" si="0">B6</f>
        <v>Case Manager/Child Care Worker</v>
      </c>
      <c r="I8" s="1126">
        <f>C6</f>
        <v>52665.599999999999</v>
      </c>
      <c r="J8" s="263">
        <f>C13*I4</f>
        <v>1</v>
      </c>
      <c r="K8" s="1127">
        <f>J8*I8</f>
        <v>52665.599999999999</v>
      </c>
      <c r="L8" s="260"/>
      <c r="M8" s="1128" t="str">
        <f>H8</f>
        <v>Case Manager/Child Care Worker</v>
      </c>
      <c r="N8" s="1126">
        <f>C6</f>
        <v>52665.599999999999</v>
      </c>
      <c r="O8" s="263">
        <f>D13*N4</f>
        <v>1</v>
      </c>
      <c r="P8" s="1127">
        <f>O8*N8</f>
        <v>52665.599999999999</v>
      </c>
      <c r="Q8" s="261"/>
      <c r="R8" s="262"/>
      <c r="S8"/>
    </row>
    <row r="9" spans="2:19" ht="18.75">
      <c r="B9" s="1284" t="s">
        <v>191</v>
      </c>
      <c r="C9" s="1285"/>
      <c r="D9" s="1286"/>
      <c r="E9" s="270"/>
      <c r="F9" s="271"/>
      <c r="G9" s="272"/>
      <c r="H9" s="804" t="str">
        <f t="shared" si="0"/>
        <v>Support</v>
      </c>
      <c r="I9" s="1126">
        <f>C7</f>
        <v>32198.400000000001</v>
      </c>
      <c r="J9" s="263">
        <f>C14*I4</f>
        <v>1</v>
      </c>
      <c r="K9" s="1127">
        <f>J9*I9</f>
        <v>32198.400000000001</v>
      </c>
      <c r="L9" s="260"/>
      <c r="M9" s="804" t="str">
        <f>H9</f>
        <v>Support</v>
      </c>
      <c r="N9" s="1126">
        <f>C7</f>
        <v>32198.400000000001</v>
      </c>
      <c r="O9" s="263">
        <f>D14*N4</f>
        <v>0.625</v>
      </c>
      <c r="P9" s="1127">
        <f>O9*N9</f>
        <v>20124</v>
      </c>
      <c r="Q9" s="261"/>
      <c r="R9" s="262"/>
      <c r="S9"/>
    </row>
    <row r="10" spans="2:19" ht="19.5" thickBot="1">
      <c r="B10" s="273" t="s">
        <v>192</v>
      </c>
      <c r="C10" s="274" t="s">
        <v>193</v>
      </c>
      <c r="D10" s="275" t="s">
        <v>194</v>
      </c>
      <c r="E10" s="276"/>
      <c r="F10" s="277"/>
      <c r="G10" s="278"/>
      <c r="H10" s="804" t="str">
        <f t="shared" si="0"/>
        <v>Program Director</v>
      </c>
      <c r="I10" s="1129">
        <f t="shared" si="0"/>
        <v>56839.527205816688</v>
      </c>
      <c r="J10" s="1130">
        <f>C15*I4</f>
        <v>0.1</v>
      </c>
      <c r="K10" s="1131">
        <f>J10*I10</f>
        <v>5683.9527205816694</v>
      </c>
      <c r="L10" s="260"/>
      <c r="M10" s="804" t="str">
        <f>H10</f>
        <v>Program Director</v>
      </c>
      <c r="N10" s="1126">
        <f>C8</f>
        <v>56839.527205816688</v>
      </c>
      <c r="O10" s="263">
        <f>D15*N4</f>
        <v>0.125</v>
      </c>
      <c r="P10" s="1127">
        <f>O10*N10</f>
        <v>7104.940900727086</v>
      </c>
      <c r="Q10" s="261"/>
      <c r="R10" s="262"/>
      <c r="S10"/>
    </row>
    <row r="11" spans="2:19" ht="19.5" thickBot="1">
      <c r="B11" s="232" t="s">
        <v>177</v>
      </c>
      <c r="C11" s="281">
        <f>1/25</f>
        <v>0.04</v>
      </c>
      <c r="D11" s="282">
        <f>1/10</f>
        <v>0.1</v>
      </c>
      <c r="E11" s="283"/>
      <c r="F11" s="284" t="s">
        <v>195</v>
      </c>
      <c r="G11" s="285"/>
      <c r="H11" s="1132" t="s">
        <v>196</v>
      </c>
      <c r="I11" s="1133"/>
      <c r="J11" s="1134">
        <f>SUM(J6:J10)</f>
        <v>2.5866666666666669</v>
      </c>
      <c r="K11" s="1135">
        <f>SUM(K6:K10)</f>
        <v>111538.20338724833</v>
      </c>
      <c r="L11" s="290"/>
      <c r="M11" s="1132" t="s">
        <v>196</v>
      </c>
      <c r="N11" s="1133"/>
      <c r="O11" s="1134">
        <f>SUM(O6:O10)</f>
        <v>2.5</v>
      </c>
      <c r="P11" s="1135">
        <f>SUM(P6:P10)</f>
        <v>112259.34090072708</v>
      </c>
      <c r="Q11" s="291"/>
      <c r="R11" s="262"/>
      <c r="S11"/>
    </row>
    <row r="12" spans="2:19" ht="18.75">
      <c r="B12" s="232" t="s">
        <v>181</v>
      </c>
      <c r="C12" s="281">
        <f>1/6/8</f>
        <v>2.0833333333333332E-2</v>
      </c>
      <c r="D12" s="292">
        <f>1/4/5</f>
        <v>0.05</v>
      </c>
      <c r="E12" s="293"/>
      <c r="F12" s="284" t="s">
        <v>197</v>
      </c>
      <c r="G12" s="294"/>
      <c r="H12" s="314"/>
      <c r="I12" s="1136"/>
      <c r="J12" s="1137"/>
      <c r="K12" s="1138"/>
      <c r="L12" s="290"/>
      <c r="M12" s="314"/>
      <c r="N12" s="1136"/>
      <c r="O12" s="1137"/>
      <c r="P12" s="1138"/>
      <c r="Q12" s="297"/>
      <c r="R12" s="262"/>
      <c r="S12"/>
    </row>
    <row r="13" spans="2:19" ht="18.75">
      <c r="B13" s="232" t="s">
        <v>186</v>
      </c>
      <c r="C13" s="281">
        <f>1/8</f>
        <v>0.125</v>
      </c>
      <c r="D13" s="282">
        <f>1/5</f>
        <v>0.2</v>
      </c>
      <c r="E13" s="283"/>
      <c r="F13" s="284" t="s">
        <v>198</v>
      </c>
      <c r="G13" s="298"/>
      <c r="H13" s="590" t="s">
        <v>199</v>
      </c>
      <c r="I13" s="1139"/>
      <c r="J13" s="1140">
        <f>D17</f>
        <v>0.22309999999999999</v>
      </c>
      <c r="K13" s="1141">
        <f>K11*J13</f>
        <v>24884.173175695101</v>
      </c>
      <c r="L13" s="302"/>
      <c r="M13" s="590" t="s">
        <v>199</v>
      </c>
      <c r="N13" s="1139"/>
      <c r="O13" s="1140">
        <f>D17</f>
        <v>0.22309999999999999</v>
      </c>
      <c r="P13" s="1141">
        <f>P11*O13</f>
        <v>25045.058954952212</v>
      </c>
      <c r="Q13" s="303"/>
      <c r="R13" s="262"/>
      <c r="S13"/>
    </row>
    <row r="14" spans="2:19" ht="19.5" thickBot="1">
      <c r="B14" s="232" t="s">
        <v>187</v>
      </c>
      <c r="C14" s="281">
        <f>0.125</f>
        <v>0.125</v>
      </c>
      <c r="D14" s="282">
        <f>C14</f>
        <v>0.125</v>
      </c>
      <c r="E14" s="283"/>
      <c r="F14" s="284" t="s">
        <v>195</v>
      </c>
      <c r="G14" s="298"/>
      <c r="H14" s="1142" t="s">
        <v>200</v>
      </c>
      <c r="I14" s="1143"/>
      <c r="J14" s="1143"/>
      <c r="K14" s="1144">
        <f>K11+K13</f>
        <v>136422.37656294342</v>
      </c>
      <c r="L14" s="290"/>
      <c r="M14" s="1142" t="s">
        <v>200</v>
      </c>
      <c r="N14" s="1143"/>
      <c r="O14" s="1143"/>
      <c r="P14" s="1144">
        <f>P11+P13</f>
        <v>137304.39985567931</v>
      </c>
      <c r="Q14" s="307"/>
      <c r="R14" s="262"/>
      <c r="S14"/>
    </row>
    <row r="15" spans="2:19" ht="19.5" thickTop="1">
      <c r="B15" s="264" t="s">
        <v>189</v>
      </c>
      <c r="C15" s="308">
        <f>0.1/8</f>
        <v>1.2500000000000001E-2</v>
      </c>
      <c r="D15" s="309">
        <f>C15*2</f>
        <v>2.5000000000000001E-2</v>
      </c>
      <c r="E15" s="310"/>
      <c r="F15" s="311" t="s">
        <v>195</v>
      </c>
      <c r="G15" s="312"/>
      <c r="H15" s="314" t="str">
        <f>B26</f>
        <v>PFLMA Trust Contribution</v>
      </c>
      <c r="I15" s="358"/>
      <c r="J15" s="609">
        <f>D26</f>
        <v>3.7000000000000002E-3</v>
      </c>
      <c r="K15" s="1138">
        <f>J15*K11</f>
        <v>412.69135253281883</v>
      </c>
      <c r="L15" s="290"/>
      <c r="M15" s="314" t="str">
        <f>H15</f>
        <v>PFLMA Trust Contribution</v>
      </c>
      <c r="N15" s="358"/>
      <c r="O15" s="609">
        <f>D26</f>
        <v>3.7000000000000002E-3</v>
      </c>
      <c r="P15" s="1138">
        <f>O15*P11</f>
        <v>415.35956133269025</v>
      </c>
      <c r="Q15" s="307"/>
      <c r="R15" s="262"/>
      <c r="S15"/>
    </row>
    <row r="16" spans="2:19" ht="18.75">
      <c r="B16" s="1287" t="s">
        <v>201</v>
      </c>
      <c r="C16" s="1288"/>
      <c r="D16" s="1288"/>
      <c r="E16" s="276"/>
      <c r="F16" s="313"/>
      <c r="G16" s="312"/>
      <c r="H16" s="314" t="s">
        <v>202</v>
      </c>
      <c r="I16" s="608"/>
      <c r="J16" s="805">
        <f>D18</f>
        <v>10.866855116239998</v>
      </c>
      <c r="K16" s="806">
        <f>J16*K4</f>
        <v>31731.216939420796</v>
      </c>
      <c r="L16" s="317"/>
      <c r="M16" s="314" t="str">
        <f>B19</f>
        <v>Consultation (clinical/Behavioral)</v>
      </c>
      <c r="N16" s="358"/>
      <c r="O16" s="358"/>
      <c r="P16" s="1149">
        <f>D19</f>
        <v>34430</v>
      </c>
      <c r="Q16" s="319"/>
      <c r="R16" s="262"/>
      <c r="S16"/>
    </row>
    <row r="17" spans="2:19" ht="15.75" customHeight="1">
      <c r="B17" s="232" t="s">
        <v>48</v>
      </c>
      <c r="C17" s="320"/>
      <c r="D17" s="320">
        <f>[11]Chart!C30</f>
        <v>0.22309999999999999</v>
      </c>
      <c r="E17" s="321"/>
      <c r="F17" s="322" t="s">
        <v>203</v>
      </c>
      <c r="G17" s="323"/>
      <c r="H17" s="314" t="s">
        <v>204</v>
      </c>
      <c r="I17" s="608"/>
      <c r="J17" s="805">
        <f>D24</f>
        <v>2.91</v>
      </c>
      <c r="K17" s="806">
        <f>J17*K4</f>
        <v>8497.2000000000007</v>
      </c>
      <c r="L17" s="317"/>
      <c r="M17" s="314" t="s">
        <v>202</v>
      </c>
      <c r="N17" s="608"/>
      <c r="O17" s="805">
        <f>D18</f>
        <v>10.866855116239998</v>
      </c>
      <c r="P17" s="806">
        <f>O17*P4</f>
        <v>19832.010587137996</v>
      </c>
      <c r="Q17" s="307"/>
      <c r="R17" s="262"/>
      <c r="S17"/>
    </row>
    <row r="18" spans="2:19" ht="19.5" thickBot="1">
      <c r="B18" s="232" t="s">
        <v>205</v>
      </c>
      <c r="C18" s="324"/>
      <c r="D18" s="324">
        <f>10*(3.93%+1)*(2.64%+1)*(1.87%+1)</f>
        <v>10.866855116239998</v>
      </c>
      <c r="E18" s="325"/>
      <c r="F18" s="235" t="s">
        <v>206</v>
      </c>
      <c r="G18" s="323"/>
      <c r="H18" s="1145" t="s">
        <v>207</v>
      </c>
      <c r="I18" s="1146"/>
      <c r="J18" s="1146"/>
      <c r="K18" s="1147">
        <f>SUM(K14:K17)</f>
        <v>177063.48485489705</v>
      </c>
      <c r="L18" s="290"/>
      <c r="M18" s="314" t="str">
        <f>H17</f>
        <v>Flex Pool</v>
      </c>
      <c r="N18" s="608"/>
      <c r="O18" s="805">
        <f>J17</f>
        <v>2.91</v>
      </c>
      <c r="P18" s="806">
        <f>(O18*P4)</f>
        <v>5310.75</v>
      </c>
      <c r="Q18" s="328"/>
      <c r="R18" s="262"/>
      <c r="S18"/>
    </row>
    <row r="19" spans="2:19" ht="20.25" thickTop="1" thickBot="1">
      <c r="B19" s="329" t="s">
        <v>208</v>
      </c>
      <c r="C19" s="324"/>
      <c r="D19" s="330">
        <v>34430</v>
      </c>
      <c r="E19" s="331"/>
      <c r="F19" s="235"/>
      <c r="G19" s="323"/>
      <c r="H19" s="314" t="s">
        <v>209</v>
      </c>
      <c r="I19" s="1148"/>
      <c r="J19" s="609">
        <f>D25</f>
        <v>1.78E-2</v>
      </c>
      <c r="K19" s="1149">
        <f>(K18*(J19+1)-(K11*J19+1))</f>
        <v>178228.8348650212</v>
      </c>
      <c r="L19" s="333"/>
      <c r="M19" s="1145" t="s">
        <v>207</v>
      </c>
      <c r="N19" s="1146"/>
      <c r="O19" s="1146"/>
      <c r="P19" s="1147">
        <f>SUM(P14:P18)</f>
        <v>197292.52000414999</v>
      </c>
      <c r="Q19" s="334"/>
      <c r="R19" s="262"/>
      <c r="S19"/>
    </row>
    <row r="20" spans="2:19" ht="20.25" thickTop="1" thickBot="1">
      <c r="B20" s="335" t="s">
        <v>209</v>
      </c>
      <c r="C20" s="336"/>
      <c r="D20" s="337">
        <v>3.9300000000000002E-2</v>
      </c>
      <c r="E20" s="321"/>
      <c r="F20" s="338"/>
      <c r="G20" s="323"/>
      <c r="H20" s="339" t="s">
        <v>210</v>
      </c>
      <c r="I20" s="340"/>
      <c r="J20" s="340"/>
      <c r="K20" s="341">
        <f>K19/K4</f>
        <v>61.037272214048357</v>
      </c>
      <c r="L20" s="342"/>
      <c r="M20" s="1150" t="str">
        <f>H19</f>
        <v>CAF Rate</v>
      </c>
      <c r="N20" s="358"/>
      <c r="O20" s="609">
        <f>D25</f>
        <v>1.78E-2</v>
      </c>
      <c r="P20" s="1138">
        <f>(P19*(O20+1)-(P11*O20+1))</f>
        <v>198805.11059219093</v>
      </c>
      <c r="Q20" s="343"/>
      <c r="R20" s="262"/>
      <c r="S20"/>
    </row>
    <row r="21" spans="2:19" ht="19.5" thickBot="1">
      <c r="B21" s="335" t="s">
        <v>211</v>
      </c>
      <c r="C21" s="336"/>
      <c r="D21" s="337">
        <v>4.5999999999999999E-2</v>
      </c>
      <c r="E21" s="321"/>
      <c r="F21" s="344"/>
      <c r="G21" s="345"/>
      <c r="H21" s="25"/>
      <c r="I21" s="346"/>
      <c r="J21" s="25"/>
      <c r="K21" s="347"/>
      <c r="L21" s="348"/>
      <c r="M21" s="349" t="str">
        <f>H20</f>
        <v xml:space="preserve">Per Service Per day </v>
      </c>
      <c r="N21" s="350"/>
      <c r="O21" s="351"/>
      <c r="P21" s="341">
        <f>P20/P4</f>
        <v>108.93430717380325</v>
      </c>
      <c r="Q21" s="352"/>
      <c r="R21" s="262"/>
      <c r="S21"/>
    </row>
    <row r="22" spans="2:19" ht="19.5" thickBot="1">
      <c r="B22" s="335" t="s">
        <v>212</v>
      </c>
      <c r="C22" s="336"/>
      <c r="D22" s="337">
        <v>2.6438643292682744E-2</v>
      </c>
      <c r="E22" s="321"/>
      <c r="F22" s="353"/>
      <c r="G22" s="345"/>
      <c r="H22" s="25"/>
      <c r="I22" s="25"/>
      <c r="J22" s="25"/>
      <c r="K22" s="354"/>
      <c r="L22" s="355"/>
      <c r="M22" s="356"/>
      <c r="N22" s="357"/>
      <c r="O22" s="358"/>
      <c r="P22" s="333"/>
      <c r="Q22" s="359"/>
      <c r="R22" s="360"/>
      <c r="S22"/>
    </row>
    <row r="23" spans="2:19" ht="15.6" customHeight="1" thickBot="1">
      <c r="B23" s="335" t="s">
        <v>213</v>
      </c>
      <c r="C23" s="336"/>
      <c r="D23" s="337">
        <v>1.8700000000000001E-2</v>
      </c>
      <c r="E23" s="321"/>
      <c r="F23" s="344"/>
      <c r="G23" s="345"/>
      <c r="H23" s="1289" t="s">
        <v>214</v>
      </c>
      <c r="I23" s="1290"/>
      <c r="J23" s="1290"/>
      <c r="K23" s="1291"/>
      <c r="L23" s="361"/>
      <c r="M23" s="362"/>
      <c r="N23" s="362"/>
      <c r="O23" s="363"/>
      <c r="P23" s="364"/>
      <c r="Q23" s="343"/>
      <c r="R23" s="365"/>
      <c r="S23"/>
    </row>
    <row r="24" spans="2:19" ht="38.25" thickBot="1">
      <c r="B24" s="366" t="s">
        <v>215</v>
      </c>
      <c r="C24" s="367"/>
      <c r="D24" s="368">
        <v>2.91</v>
      </c>
      <c r="E24" s="369"/>
      <c r="F24" s="370" t="s">
        <v>216</v>
      </c>
      <c r="G24" s="256"/>
      <c r="H24" s="1292"/>
      <c r="I24" s="1293"/>
      <c r="J24" s="371" t="s">
        <v>217</v>
      </c>
      <c r="K24" s="372" t="s">
        <v>218</v>
      </c>
      <c r="L24" s="361"/>
      <c r="M24" s="1289" t="s">
        <v>219</v>
      </c>
      <c r="N24" s="1290"/>
      <c r="O24" s="1291"/>
      <c r="P24" s="343"/>
      <c r="Q24" s="343"/>
      <c r="R24" s="373"/>
      <c r="S24"/>
    </row>
    <row r="25" spans="2:19" ht="37.5">
      <c r="B25" s="374" t="s">
        <v>220</v>
      </c>
      <c r="C25" s="375"/>
      <c r="D25" s="1125">
        <f>[11]Chart!C32</f>
        <v>1.78E-2</v>
      </c>
      <c r="E25" s="376"/>
      <c r="F25" s="377" t="s">
        <v>52</v>
      </c>
      <c r="G25" s="378"/>
      <c r="H25" s="1294"/>
      <c r="I25" s="1295"/>
      <c r="J25" s="379"/>
      <c r="K25" s="380"/>
      <c r="L25" s="381"/>
      <c r="M25" s="382"/>
      <c r="N25" s="383" t="s">
        <v>217</v>
      </c>
      <c r="O25" s="372" t="s">
        <v>218</v>
      </c>
      <c r="P25" s="224"/>
      <c r="Q25" s="384"/>
      <c r="R25" s="373"/>
      <c r="S25"/>
    </row>
    <row r="26" spans="2:19" ht="57" thickBot="1">
      <c r="B26" s="374" t="s">
        <v>221</v>
      </c>
      <c r="C26" s="375"/>
      <c r="D26" s="1125">
        <f>[11]Chart!C31</f>
        <v>3.7000000000000002E-3</v>
      </c>
      <c r="E26" s="376"/>
      <c r="F26" s="377" t="s">
        <v>222</v>
      </c>
      <c r="G26" s="385"/>
      <c r="H26" s="1296" t="s">
        <v>223</v>
      </c>
      <c r="I26" s="1297"/>
      <c r="J26" s="386">
        <v>25.16</v>
      </c>
      <c r="K26" s="1151">
        <f>E28</f>
        <v>27.02</v>
      </c>
      <c r="L26" s="1152"/>
      <c r="M26" s="1153" t="s">
        <v>223</v>
      </c>
      <c r="N26" s="1154">
        <v>25.16</v>
      </c>
      <c r="O26" s="387">
        <f>E28</f>
        <v>27.02</v>
      </c>
      <c r="P26" s="224"/>
      <c r="Q26" s="388"/>
      <c r="R26" s="389"/>
      <c r="S26"/>
    </row>
    <row r="27" spans="2:19" ht="19.5" thickBot="1">
      <c r="B27" s="390" t="s">
        <v>224</v>
      </c>
      <c r="C27" s="391"/>
      <c r="D27" s="392"/>
      <c r="E27" s="393">
        <v>25.16</v>
      </c>
      <c r="F27" s="394" t="s">
        <v>195</v>
      </c>
      <c r="G27" s="395"/>
      <c r="H27" s="1272" t="s">
        <v>225</v>
      </c>
      <c r="I27" s="1273"/>
      <c r="J27" s="386">
        <v>7.79</v>
      </c>
      <c r="K27" s="1151">
        <f>J27*(D25+1)</f>
        <v>7.9286620000000001</v>
      </c>
      <c r="L27" s="1155"/>
      <c r="M27" s="1156" t="s">
        <v>226</v>
      </c>
      <c r="N27" s="1157">
        <v>66.19</v>
      </c>
      <c r="O27" s="387">
        <f>N27*(D25+1)</f>
        <v>67.368182000000004</v>
      </c>
      <c r="P27" s="224"/>
      <c r="Q27" s="343"/>
      <c r="R27" s="389"/>
      <c r="S27"/>
    </row>
    <row r="28" spans="2:19" ht="31.5" customHeight="1" thickBot="1">
      <c r="B28" s="390" t="s">
        <v>227</v>
      </c>
      <c r="C28" s="391"/>
      <c r="D28" s="392"/>
      <c r="E28" s="393">
        <v>27.02</v>
      </c>
      <c r="F28" s="394" t="s">
        <v>195</v>
      </c>
      <c r="G28" s="395"/>
      <c r="H28" s="397"/>
      <c r="I28" s="398"/>
      <c r="J28" s="399">
        <v>25</v>
      </c>
      <c r="K28" s="1158">
        <f>SUM(K26:K27)</f>
        <v>34.948661999999999</v>
      </c>
      <c r="L28" s="400"/>
      <c r="M28" s="1159"/>
      <c r="N28" s="1160">
        <v>80</v>
      </c>
      <c r="O28" s="1161">
        <f>SUM(O26:O27)</f>
        <v>94.388182</v>
      </c>
      <c r="P28" s="224"/>
      <c r="Q28" s="401"/>
      <c r="R28" s="389"/>
      <c r="S28"/>
    </row>
    <row r="29" spans="2:19" ht="19.5" thickBot="1">
      <c r="B29" s="220"/>
      <c r="C29" s="220"/>
      <c r="D29" s="220"/>
      <c r="E29" s="402"/>
      <c r="F29" s="220"/>
      <c r="G29" s="385"/>
      <c r="H29" s="403"/>
      <c r="I29" s="404"/>
      <c r="J29" s="405"/>
      <c r="K29" s="406"/>
      <c r="L29" s="407"/>
      <c r="M29" s="343"/>
      <c r="N29" s="408"/>
      <c r="O29" s="224"/>
      <c r="P29" s="224"/>
      <c r="Q29" s="224"/>
      <c r="R29" s="389"/>
      <c r="S29"/>
    </row>
    <row r="30" spans="2:19" ht="38.25" customHeight="1" thickBot="1">
      <c r="B30" s="220"/>
      <c r="C30" s="220"/>
      <c r="D30" s="220"/>
      <c r="E30" s="402"/>
      <c r="F30" s="220"/>
      <c r="G30" s="409"/>
      <c r="H30" s="1289" t="s">
        <v>228</v>
      </c>
      <c r="I30" s="1290"/>
      <c r="J30" s="1290"/>
      <c r="K30" s="1291"/>
      <c r="L30" s="410"/>
      <c r="M30" s="1298" t="s">
        <v>229</v>
      </c>
      <c r="N30" s="1299"/>
      <c r="O30" s="1300"/>
      <c r="P30" s="224"/>
      <c r="Q30" s="224"/>
    </row>
    <row r="31" spans="2:19" ht="37.5">
      <c r="B31" s="220"/>
      <c r="C31" s="220"/>
      <c r="D31" s="220"/>
      <c r="E31" s="402"/>
      <c r="F31" s="220"/>
      <c r="G31" s="409"/>
      <c r="H31" s="1301"/>
      <c r="I31" s="1302"/>
      <c r="J31" s="383" t="s">
        <v>217</v>
      </c>
      <c r="K31" s="372" t="s">
        <v>218</v>
      </c>
      <c r="L31" s="411"/>
      <c r="M31" s="1303"/>
      <c r="N31" s="1304"/>
      <c r="O31" s="412" t="s">
        <v>230</v>
      </c>
      <c r="P31" s="224"/>
      <c r="Q31" s="224"/>
    </row>
    <row r="32" spans="2:19" ht="18.75">
      <c r="B32" s="220"/>
      <c r="C32" s="220"/>
      <c r="D32" s="220"/>
      <c r="E32" s="402"/>
      <c r="F32" s="220"/>
      <c r="G32" s="409"/>
      <c r="H32" s="1296" t="s">
        <v>223</v>
      </c>
      <c r="I32" s="1297"/>
      <c r="J32" s="386">
        <f>J26</f>
        <v>25.16</v>
      </c>
      <c r="K32" s="387">
        <f>E28</f>
        <v>27.02</v>
      </c>
      <c r="L32" s="411"/>
      <c r="M32" s="1305" t="s">
        <v>231</v>
      </c>
      <c r="N32" s="1306"/>
      <c r="O32" s="1307"/>
      <c r="P32" s="224"/>
      <c r="Q32" s="224"/>
    </row>
    <row r="33" spans="2:17" ht="18.75">
      <c r="B33" s="220"/>
      <c r="C33" s="220"/>
      <c r="D33" s="220"/>
      <c r="E33" s="402"/>
      <c r="F33" s="220"/>
      <c r="G33" s="409"/>
      <c r="H33" s="1272" t="s">
        <v>226</v>
      </c>
      <c r="I33" s="1273"/>
      <c r="J33" s="386">
        <v>34.229999999999997</v>
      </c>
      <c r="K33" s="387">
        <f>J33*(D25+1)</f>
        <v>34.839293999999995</v>
      </c>
      <c r="L33" s="413"/>
      <c r="M33" s="414" t="s">
        <v>232</v>
      </c>
      <c r="N33" s="415" t="s">
        <v>233</v>
      </c>
      <c r="O33" s="416" t="s">
        <v>234</v>
      </c>
      <c r="P33" s="224"/>
      <c r="Q33" s="224"/>
    </row>
    <row r="34" spans="2:17" ht="19.5" thickBot="1">
      <c r="B34" s="220"/>
      <c r="C34" s="220"/>
      <c r="D34" s="220"/>
      <c r="E34" s="402"/>
      <c r="F34" s="220"/>
      <c r="G34" s="409"/>
      <c r="H34" s="1308"/>
      <c r="I34" s="1309"/>
      <c r="J34" s="417">
        <v>50</v>
      </c>
      <c r="K34" s="1161">
        <f>SUM(K32:K33)</f>
        <v>61.859293999999991</v>
      </c>
      <c r="L34" s="297"/>
      <c r="M34" s="418">
        <f>L34</f>
        <v>0</v>
      </c>
      <c r="N34" s="419">
        <v>68.069999999999993</v>
      </c>
      <c r="O34" s="420">
        <f>N34*(D25+1)</f>
        <v>69.281645999999995</v>
      </c>
      <c r="P34" s="224"/>
      <c r="Q34" s="224"/>
    </row>
    <row r="35" spans="2:17" ht="19.5" thickBot="1">
      <c r="B35" s="220"/>
      <c r="C35" s="220"/>
      <c r="D35" s="220"/>
      <c r="E35" s="402"/>
      <c r="F35" s="220"/>
      <c r="G35" s="409"/>
      <c r="H35" s="421"/>
      <c r="I35" s="297"/>
      <c r="J35" s="297"/>
      <c r="K35" s="422"/>
      <c r="L35" s="400"/>
      <c r="M35" s="1305" t="s">
        <v>235</v>
      </c>
      <c r="N35" s="1306"/>
      <c r="O35" s="1307"/>
      <c r="P35" s="224"/>
      <c r="Q35" s="224"/>
    </row>
    <row r="36" spans="2:17" ht="38.25" thickBot="1">
      <c r="B36" s="220"/>
      <c r="C36" s="220"/>
      <c r="D36" s="220"/>
      <c r="E36" s="221"/>
      <c r="F36" s="220"/>
      <c r="G36" s="409"/>
      <c r="H36" s="1289" t="s">
        <v>236</v>
      </c>
      <c r="I36" s="1290"/>
      <c r="J36" s="1290"/>
      <c r="K36" s="1291"/>
      <c r="L36" s="423"/>
      <c r="M36" s="414" t="s">
        <v>237</v>
      </c>
      <c r="N36" s="1164" t="s">
        <v>238</v>
      </c>
      <c r="O36" s="436" t="s">
        <v>239</v>
      </c>
      <c r="P36" s="224"/>
      <c r="Q36" s="224"/>
    </row>
    <row r="37" spans="2:17" ht="37.5">
      <c r="B37" s="220"/>
      <c r="C37" s="220"/>
      <c r="D37" s="220"/>
      <c r="E37" s="221"/>
      <c r="F37" s="220"/>
      <c r="G37" s="409"/>
      <c r="H37" s="382"/>
      <c r="I37" s="424"/>
      <c r="J37" s="383" t="s">
        <v>217</v>
      </c>
      <c r="K37" s="425" t="s">
        <v>218</v>
      </c>
      <c r="L37" s="426"/>
      <c r="M37" s="427">
        <f>K34</f>
        <v>61.859293999999991</v>
      </c>
      <c r="N37" s="428">
        <f>K26</f>
        <v>27.02</v>
      </c>
      <c r="O37" s="1162">
        <f>M37+N37</f>
        <v>88.879293999999987</v>
      </c>
      <c r="P37" s="224"/>
      <c r="Q37" s="224"/>
    </row>
    <row r="38" spans="2:17" ht="19.5" thickBot="1">
      <c r="B38" s="220"/>
      <c r="C38" s="220"/>
      <c r="D38" s="220"/>
      <c r="E38" s="221"/>
      <c r="F38" s="220"/>
      <c r="G38" s="409"/>
      <c r="H38" s="1296" t="s">
        <v>223</v>
      </c>
      <c r="I38" s="1297"/>
      <c r="J38" s="386">
        <f>J32</f>
        <v>25.16</v>
      </c>
      <c r="K38" s="387">
        <f>E28</f>
        <v>27.02</v>
      </c>
      <c r="L38" s="429"/>
      <c r="M38" s="1310" t="s">
        <v>229</v>
      </c>
      <c r="N38" s="1311"/>
      <c r="O38" s="430">
        <f>O34+O37</f>
        <v>158.16093999999998</v>
      </c>
      <c r="P38" s="224"/>
      <c r="Q38" s="224"/>
    </row>
    <row r="39" spans="2:17" ht="19.5" thickBot="1">
      <c r="B39" s="220"/>
      <c r="C39" s="220"/>
      <c r="D39" s="220"/>
      <c r="E39" s="221"/>
      <c r="F39" s="220"/>
      <c r="G39" s="409"/>
      <c r="H39" s="1296" t="s">
        <v>240</v>
      </c>
      <c r="I39" s="1297"/>
      <c r="J39" s="386">
        <v>10.66</v>
      </c>
      <c r="K39" s="431">
        <f>J39*(D25+1)</f>
        <v>10.849748</v>
      </c>
      <c r="L39" s="432"/>
      <c r="M39" s="433"/>
      <c r="N39" s="433"/>
      <c r="O39" s="433"/>
      <c r="P39" s="224" t="s">
        <v>174</v>
      </c>
      <c r="Q39" s="224"/>
    </row>
    <row r="40" spans="2:17" ht="19.5" thickBot="1">
      <c r="B40" s="220"/>
      <c r="C40" s="220"/>
      <c r="D40" s="220"/>
      <c r="E40" s="221"/>
      <c r="F40" s="220"/>
      <c r="G40" s="409"/>
      <c r="H40" s="1272" t="s">
        <v>226</v>
      </c>
      <c r="I40" s="1273"/>
      <c r="J40" s="386">
        <v>34.229999999999997</v>
      </c>
      <c r="K40" s="396">
        <f>J40*(D25+1)</f>
        <v>34.839293999999995</v>
      </c>
      <c r="L40" s="297"/>
      <c r="M40" s="1289" t="s">
        <v>74</v>
      </c>
      <c r="N40" s="1290"/>
      <c r="O40" s="1291"/>
      <c r="P40" s="224"/>
      <c r="Q40" s="224"/>
    </row>
    <row r="41" spans="2:17" ht="38.25" thickBot="1">
      <c r="B41" s="220"/>
      <c r="C41" s="220"/>
      <c r="D41" s="220"/>
      <c r="E41" s="221"/>
      <c r="F41" s="220"/>
      <c r="G41" s="409"/>
      <c r="H41" s="1312" t="s">
        <v>241</v>
      </c>
      <c r="I41" s="1313"/>
      <c r="J41" s="417">
        <f>SUM(J38:J40)</f>
        <v>70.05</v>
      </c>
      <c r="K41" s="1161">
        <f>SUM(K38:K40)</f>
        <v>72.709041999999997</v>
      </c>
      <c r="L41" s="400"/>
      <c r="M41" s="382"/>
      <c r="N41" s="383" t="s">
        <v>217</v>
      </c>
      <c r="O41" s="372" t="s">
        <v>218</v>
      </c>
      <c r="P41" s="224"/>
      <c r="Q41" s="224"/>
    </row>
    <row r="42" spans="2:17" ht="18.75">
      <c r="B42" s="220"/>
      <c r="C42" s="220"/>
      <c r="D42" s="220"/>
      <c r="E42" s="221"/>
      <c r="F42" s="220"/>
      <c r="G42" s="409"/>
      <c r="H42" s="434"/>
      <c r="I42" s="434"/>
      <c r="J42" s="434"/>
      <c r="K42" s="297"/>
      <c r="L42" s="407"/>
      <c r="M42" s="435" t="s">
        <v>242</v>
      </c>
      <c r="N42" s="386">
        <v>25.16</v>
      </c>
      <c r="O42" s="436">
        <f>E28</f>
        <v>27.02</v>
      </c>
      <c r="P42" s="224"/>
      <c r="Q42" s="224"/>
    </row>
    <row r="43" spans="2:17" ht="19.5" thickBot="1">
      <c r="B43" s="220"/>
      <c r="C43" s="220"/>
      <c r="D43" s="220"/>
      <c r="E43" s="221"/>
      <c r="F43" s="220"/>
      <c r="G43" s="409"/>
      <c r="H43" s="433"/>
      <c r="I43" s="433"/>
      <c r="J43" s="433"/>
      <c r="K43" s="297"/>
      <c r="L43" s="426"/>
      <c r="M43" s="437"/>
      <c r="N43" s="417"/>
      <c r="O43" s="1163">
        <f>SUM(O42:O42)</f>
        <v>27.02</v>
      </c>
      <c r="P43" s="224"/>
      <c r="Q43" s="224"/>
    </row>
    <row r="44" spans="2:17" ht="19.5" thickBot="1">
      <c r="B44" s="220"/>
      <c r="C44" s="220"/>
      <c r="D44" s="220"/>
      <c r="E44" s="221"/>
      <c r="F44" s="220"/>
      <c r="G44" s="409"/>
      <c r="H44" s="433"/>
      <c r="I44" s="433"/>
      <c r="J44" s="433"/>
      <c r="K44" s="433"/>
      <c r="L44" s="438"/>
      <c r="M44" s="433"/>
      <c r="N44" s="297"/>
      <c r="O44" s="297"/>
      <c r="P44" s="224"/>
      <c r="Q44" s="224"/>
    </row>
    <row r="45" spans="2:17" ht="19.5" thickBot="1">
      <c r="B45" s="220"/>
      <c r="C45" s="220"/>
      <c r="D45" s="220"/>
      <c r="E45" s="221"/>
      <c r="F45" s="220"/>
      <c r="G45" s="409"/>
      <c r="H45" s="433"/>
      <c r="I45" s="433"/>
      <c r="J45" s="433"/>
      <c r="K45" s="433"/>
      <c r="L45" s="426"/>
      <c r="M45" s="1289" t="s">
        <v>243</v>
      </c>
      <c r="N45" s="1290"/>
      <c r="O45" s="1291"/>
      <c r="P45" s="224"/>
      <c r="Q45" s="224"/>
    </row>
    <row r="46" spans="2:17" ht="37.5">
      <c r="B46" s="220"/>
      <c r="C46" s="220"/>
      <c r="D46" s="220"/>
      <c r="E46" s="221"/>
      <c r="F46" s="220"/>
      <c r="G46" s="439"/>
      <c r="H46" s="433"/>
      <c r="I46" s="433"/>
      <c r="J46" s="433"/>
      <c r="K46" s="433"/>
      <c r="L46" s="432"/>
      <c r="M46" s="382"/>
      <c r="N46" s="383" t="s">
        <v>217</v>
      </c>
      <c r="O46" s="372" t="s">
        <v>218</v>
      </c>
      <c r="P46" s="224"/>
      <c r="Q46" s="224"/>
    </row>
    <row r="47" spans="2:17" ht="18.75">
      <c r="B47" s="220"/>
      <c r="C47" s="220"/>
      <c r="D47" s="220"/>
      <c r="E47" s="221"/>
      <c r="F47" s="220"/>
      <c r="G47" s="440"/>
      <c r="H47" s="433"/>
      <c r="I47" s="433"/>
      <c r="J47" s="433"/>
      <c r="K47" s="433"/>
      <c r="L47" s="297"/>
      <c r="M47" s="435" t="s">
        <v>244</v>
      </c>
      <c r="N47" s="434">
        <v>59.39</v>
      </c>
      <c r="O47" s="441">
        <f>N47*(D25+1)</f>
        <v>60.447141999999999</v>
      </c>
      <c r="P47" s="224"/>
      <c r="Q47" s="224"/>
    </row>
    <row r="48" spans="2:17" ht="18.75">
      <c r="B48" s="220"/>
      <c r="C48" s="220"/>
      <c r="D48" s="220"/>
      <c r="E48" s="221"/>
      <c r="F48" s="220"/>
      <c r="G48" s="223"/>
      <c r="H48" s="433"/>
      <c r="I48" s="433"/>
      <c r="J48" s="433"/>
      <c r="K48" s="433"/>
      <c r="L48" s="297"/>
      <c r="M48" s="435" t="s">
        <v>242</v>
      </c>
      <c r="N48" s="386">
        <v>25.16</v>
      </c>
      <c r="O48" s="436">
        <f>E28</f>
        <v>27.02</v>
      </c>
      <c r="P48" s="224"/>
      <c r="Q48" s="224"/>
    </row>
    <row r="49" spans="2:17" ht="19.5" thickBot="1">
      <c r="B49" s="220"/>
      <c r="C49" s="220"/>
      <c r="D49" s="220"/>
      <c r="E49" s="221"/>
      <c r="F49" s="220"/>
      <c r="G49" s="442"/>
      <c r="H49" s="433"/>
      <c r="I49" s="443"/>
      <c r="J49" s="307"/>
      <c r="K49" s="307"/>
      <c r="L49" s="433"/>
      <c r="M49" s="437"/>
      <c r="N49" s="417"/>
      <c r="O49" s="444">
        <f>SUM(O47:O48)</f>
        <v>87.467141999999996</v>
      </c>
      <c r="P49" s="224"/>
      <c r="Q49" s="224"/>
    </row>
    <row r="50" spans="2:17" ht="18.75">
      <c r="B50" s="220"/>
      <c r="C50" s="220"/>
      <c r="D50" s="220"/>
      <c r="E50" s="221"/>
      <c r="F50" s="220"/>
      <c r="G50" s="442"/>
      <c r="H50" s="433"/>
      <c r="I50" s="297"/>
      <c r="J50" s="297"/>
      <c r="K50" s="297"/>
      <c r="L50" s="433"/>
      <c r="M50" s="445"/>
      <c r="N50" s="446"/>
      <c r="O50" s="447"/>
      <c r="P50" s="224"/>
      <c r="Q50" s="224"/>
    </row>
    <row r="51" spans="2:17" ht="19.5" thickBot="1">
      <c r="B51" s="220"/>
      <c r="C51" s="220"/>
      <c r="D51" s="220"/>
      <c r="E51" s="221"/>
      <c r="F51" s="220"/>
      <c r="G51" s="442"/>
      <c r="H51" s="433"/>
      <c r="I51" s="297"/>
      <c r="J51" s="448"/>
      <c r="K51" s="297"/>
      <c r="L51" s="433"/>
      <c r="M51" s="445"/>
      <c r="N51" s="446"/>
      <c r="O51" s="447"/>
      <c r="P51" s="224"/>
      <c r="Q51" s="224"/>
    </row>
    <row r="52" spans="2:17" ht="19.5" thickBot="1">
      <c r="B52" s="220"/>
      <c r="C52" s="220"/>
      <c r="D52" s="220"/>
      <c r="E52" s="221"/>
      <c r="F52" s="220"/>
      <c r="G52" s="442"/>
      <c r="H52" s="433"/>
      <c r="I52" s="449"/>
      <c r="J52" s="297"/>
      <c r="K52" s="450"/>
      <c r="L52" s="433"/>
      <c r="M52" s="1289" t="s">
        <v>245</v>
      </c>
      <c r="N52" s="1290"/>
      <c r="O52" s="1291"/>
      <c r="P52" s="224"/>
      <c r="Q52" s="224"/>
    </row>
    <row r="53" spans="2:17" ht="37.5">
      <c r="B53" s="220"/>
      <c r="C53" s="220"/>
      <c r="D53" s="220"/>
      <c r="E53" s="221"/>
      <c r="F53" s="220"/>
      <c r="G53" s="442"/>
      <c r="H53" s="297"/>
      <c r="I53" s="297"/>
      <c r="J53" s="303"/>
      <c r="K53" s="451"/>
      <c r="L53" s="433"/>
      <c r="M53" s="382"/>
      <c r="N53" s="383" t="s">
        <v>217</v>
      </c>
      <c r="O53" s="372" t="s">
        <v>218</v>
      </c>
      <c r="P53" s="224"/>
      <c r="Q53" s="224"/>
    </row>
    <row r="54" spans="2:17" ht="18.75">
      <c r="B54" s="452"/>
      <c r="C54" s="452"/>
      <c r="D54" s="452"/>
      <c r="E54" s="453"/>
      <c r="F54" s="452"/>
      <c r="G54" s="442"/>
      <c r="H54" s="454"/>
      <c r="I54" s="455"/>
      <c r="J54" s="307"/>
      <c r="K54" s="303"/>
      <c r="L54" s="307"/>
      <c r="M54" s="435" t="s">
        <v>67</v>
      </c>
      <c r="N54" s="434">
        <v>61.93</v>
      </c>
      <c r="O54" s="1165">
        <f>N54*(D25+1)</f>
        <v>63.032354000000005</v>
      </c>
      <c r="P54" s="224"/>
      <c r="Q54" s="224"/>
    </row>
    <row r="55" spans="2:17" ht="18.75">
      <c r="B55" s="452"/>
      <c r="C55" s="452"/>
      <c r="D55" s="452"/>
      <c r="E55" s="453"/>
      <c r="F55" s="452"/>
      <c r="G55" s="442"/>
      <c r="H55" s="456"/>
      <c r="I55" s="297"/>
      <c r="J55" s="297"/>
      <c r="K55" s="307"/>
      <c r="L55" s="297"/>
      <c r="M55" s="435" t="s">
        <v>242</v>
      </c>
      <c r="N55" s="386">
        <v>84.55</v>
      </c>
      <c r="O55" s="436">
        <f>N55*(D25+1)</f>
        <v>86.054990000000004</v>
      </c>
      <c r="P55" s="224"/>
      <c r="Q55" s="224"/>
    </row>
    <row r="56" spans="2:17" ht="19.5" thickBot="1">
      <c r="G56" s="458"/>
      <c r="H56" s="456"/>
      <c r="I56" s="459"/>
      <c r="J56" s="460"/>
      <c r="K56" s="297"/>
      <c r="L56" s="297"/>
      <c r="M56" s="437"/>
      <c r="N56" s="417"/>
      <c r="O56" s="444">
        <f>SUM(O54:O55)</f>
        <v>149.087344</v>
      </c>
      <c r="P56" s="224"/>
      <c r="Q56" s="224"/>
    </row>
    <row r="57" spans="2:17" ht="15.75">
      <c r="G57" s="458"/>
      <c r="H57" s="461"/>
      <c r="I57" s="462"/>
      <c r="J57" s="463"/>
      <c r="K57" s="464"/>
      <c r="L57" s="465"/>
      <c r="M57" s="452"/>
      <c r="N57" s="452"/>
      <c r="O57" s="466"/>
      <c r="P57" s="452"/>
      <c r="Q57" s="452"/>
    </row>
    <row r="58" spans="2:17" ht="15.75">
      <c r="G58" s="442"/>
      <c r="H58" s="467"/>
      <c r="I58" s="468"/>
      <c r="J58" s="469"/>
      <c r="K58" s="470"/>
      <c r="L58" s="471"/>
      <c r="O58" s="472"/>
      <c r="P58" s="472"/>
    </row>
    <row r="59" spans="2:17" ht="15.75">
      <c r="G59" s="461"/>
      <c r="H59" s="467"/>
      <c r="I59" s="467"/>
      <c r="J59" s="470"/>
      <c r="K59" s="470"/>
      <c r="L59" s="463"/>
      <c r="O59" s="472"/>
      <c r="P59" s="472"/>
    </row>
    <row r="60" spans="2:17" ht="15.75">
      <c r="G60" s="473"/>
      <c r="H60" s="467"/>
      <c r="I60" s="467"/>
      <c r="J60" s="467"/>
      <c r="K60" s="470"/>
      <c r="L60" s="464"/>
      <c r="M60" s="472"/>
      <c r="N60" s="472"/>
      <c r="O60" s="472"/>
      <c r="P60" s="472"/>
    </row>
    <row r="61" spans="2:17" ht="15.75">
      <c r="G61" s="474"/>
      <c r="H61" s="467"/>
      <c r="I61" s="475"/>
      <c r="J61" s="360"/>
      <c r="K61" s="467"/>
      <c r="L61" s="461"/>
      <c r="M61" s="476"/>
      <c r="N61" s="476"/>
      <c r="O61" s="476"/>
      <c r="P61" s="476"/>
      <c r="Q61" s="476"/>
    </row>
    <row r="62" spans="2:17" ht="15.75">
      <c r="G62" s="474"/>
      <c r="H62" s="467"/>
      <c r="I62" s="475"/>
      <c r="J62" s="360"/>
      <c r="K62" s="360"/>
      <c r="L62" s="464"/>
      <c r="M62" s="476"/>
      <c r="N62" s="476"/>
      <c r="O62" s="476"/>
      <c r="P62" s="476"/>
      <c r="Q62" s="476"/>
    </row>
    <row r="63" spans="2:17" ht="15.75">
      <c r="G63" s="461"/>
      <c r="H63" s="467"/>
      <c r="I63" s="475"/>
      <c r="J63" s="360"/>
      <c r="K63" s="360"/>
      <c r="L63" s="470"/>
      <c r="M63" s="476"/>
      <c r="N63" s="476"/>
      <c r="O63" s="476"/>
      <c r="P63" s="476"/>
      <c r="Q63" s="476"/>
    </row>
    <row r="64" spans="2:17">
      <c r="G64" s="467"/>
      <c r="H64" s="467"/>
      <c r="I64" s="475"/>
      <c r="J64" s="360"/>
      <c r="K64" s="360"/>
      <c r="L64" s="470"/>
      <c r="M64" s="476"/>
      <c r="N64" s="476"/>
      <c r="O64" s="476"/>
      <c r="P64" s="476"/>
      <c r="Q64" s="476"/>
    </row>
    <row r="65" spans="7:17">
      <c r="G65" s="467"/>
      <c r="H65" s="467"/>
      <c r="I65" s="475"/>
      <c r="J65" s="360"/>
      <c r="K65" s="360"/>
      <c r="L65" s="470"/>
      <c r="M65" s="476"/>
      <c r="N65" s="476"/>
      <c r="O65" s="476"/>
      <c r="P65" s="476"/>
      <c r="Q65" s="476"/>
    </row>
    <row r="66" spans="7:17">
      <c r="G66" s="467"/>
      <c r="H66" s="467"/>
      <c r="I66" s="475"/>
      <c r="J66" s="360"/>
      <c r="K66" s="360"/>
      <c r="L66" s="467"/>
      <c r="M66" s="476"/>
      <c r="N66" s="476"/>
      <c r="O66" s="476"/>
      <c r="P66" s="476"/>
      <c r="Q66" s="476"/>
    </row>
    <row r="67" spans="7:17">
      <c r="G67" s="467"/>
      <c r="H67" s="467"/>
      <c r="I67" s="475"/>
      <c r="J67" s="360"/>
      <c r="K67" s="360"/>
      <c r="L67" s="360"/>
      <c r="M67" s="476"/>
      <c r="N67" s="476"/>
      <c r="O67" s="476"/>
      <c r="P67" s="476"/>
      <c r="Q67" s="476"/>
    </row>
    <row r="68" spans="7:17">
      <c r="G68" s="467"/>
      <c r="H68" s="477"/>
      <c r="I68" s="478"/>
      <c r="J68" s="470"/>
      <c r="K68" s="360"/>
      <c r="L68" s="360"/>
      <c r="M68" s="476"/>
      <c r="N68" s="476"/>
      <c r="O68" s="476"/>
      <c r="P68" s="476"/>
      <c r="Q68" s="476"/>
    </row>
    <row r="69" spans="7:17">
      <c r="G69" s="467"/>
      <c r="H69" s="477"/>
      <c r="I69" s="467"/>
      <c r="J69" s="467"/>
      <c r="K69" s="470"/>
      <c r="L69" s="360"/>
      <c r="M69" s="476"/>
      <c r="N69" s="476"/>
      <c r="O69" s="476"/>
      <c r="P69" s="476"/>
      <c r="Q69" s="476"/>
    </row>
    <row r="70" spans="7:17">
      <c r="G70" s="467"/>
      <c r="H70" s="467"/>
      <c r="I70" s="477"/>
      <c r="J70" s="479"/>
      <c r="K70" s="467"/>
      <c r="L70" s="360"/>
      <c r="M70" s="476"/>
      <c r="N70" s="476"/>
      <c r="Q70" s="476"/>
    </row>
    <row r="71" spans="7:17">
      <c r="G71" s="467"/>
      <c r="H71" s="480"/>
      <c r="I71" s="477"/>
      <c r="J71" s="479"/>
      <c r="K71" s="479"/>
      <c r="L71" s="360"/>
    </row>
    <row r="72" spans="7:17">
      <c r="G72" s="467"/>
      <c r="H72" s="467"/>
      <c r="I72" s="467"/>
      <c r="J72" s="467"/>
      <c r="K72" s="479"/>
      <c r="L72" s="360"/>
    </row>
    <row r="73" spans="7:17">
      <c r="G73" s="467"/>
      <c r="H73" s="467"/>
      <c r="I73" s="467"/>
      <c r="J73" s="469"/>
      <c r="K73" s="467"/>
      <c r="L73" s="360"/>
    </row>
    <row r="74" spans="7:17">
      <c r="G74" s="477"/>
      <c r="H74" s="467"/>
      <c r="I74" s="467"/>
      <c r="J74" s="467"/>
      <c r="K74" s="469"/>
      <c r="L74" s="470"/>
    </row>
    <row r="75" spans="7:17">
      <c r="G75" s="477"/>
      <c r="H75" s="481"/>
      <c r="I75" s="467"/>
      <c r="J75" s="470"/>
      <c r="K75" s="467"/>
      <c r="L75" s="467"/>
    </row>
    <row r="76" spans="7:17">
      <c r="G76" s="467"/>
      <c r="H76" s="481"/>
      <c r="I76" s="467"/>
      <c r="J76" s="467"/>
      <c r="K76" s="470"/>
      <c r="L76" s="479"/>
    </row>
    <row r="77" spans="7:17">
      <c r="G77" s="480"/>
      <c r="H77" s="467"/>
      <c r="I77" s="467"/>
      <c r="J77" s="482"/>
      <c r="K77" s="467"/>
      <c r="L77" s="479"/>
    </row>
    <row r="78" spans="7:17">
      <c r="G78" s="467"/>
      <c r="H78" s="467"/>
      <c r="I78" s="467"/>
      <c r="J78" s="482"/>
      <c r="K78" s="482"/>
      <c r="L78" s="467"/>
    </row>
    <row r="79" spans="7:17">
      <c r="G79" s="467"/>
      <c r="H79" s="467"/>
      <c r="I79" s="467"/>
      <c r="J79" s="467"/>
      <c r="K79" s="482"/>
      <c r="L79" s="469"/>
    </row>
    <row r="80" spans="7:17">
      <c r="G80" s="467"/>
      <c r="H80" s="467"/>
      <c r="I80" s="467"/>
      <c r="J80" s="483"/>
      <c r="K80" s="467"/>
      <c r="L80" s="467"/>
    </row>
    <row r="81" spans="7:12">
      <c r="G81" s="481"/>
      <c r="H81" s="467"/>
      <c r="I81" s="467"/>
      <c r="J81" s="483"/>
      <c r="K81" s="483"/>
      <c r="L81" s="470"/>
    </row>
    <row r="82" spans="7:12">
      <c r="G82" s="481"/>
      <c r="H82" s="484"/>
      <c r="I82" s="485"/>
      <c r="J82" s="485"/>
      <c r="K82" s="483"/>
      <c r="L82" s="467"/>
    </row>
    <row r="83" spans="7:12">
      <c r="G83" s="467"/>
      <c r="H83" s="484"/>
      <c r="I83" s="485"/>
      <c r="J83" s="485"/>
      <c r="K83" s="485"/>
      <c r="L83" s="482"/>
    </row>
    <row r="84" spans="7:12">
      <c r="G84" s="467"/>
      <c r="H84" s="484"/>
      <c r="I84" s="486"/>
      <c r="J84" s="485"/>
      <c r="K84" s="485"/>
      <c r="L84" s="482"/>
    </row>
    <row r="85" spans="7:12">
      <c r="G85" s="467"/>
      <c r="H85" s="476"/>
      <c r="I85" s="487"/>
      <c r="J85" s="485"/>
      <c r="K85" s="485"/>
      <c r="L85" s="467"/>
    </row>
    <row r="86" spans="7:12">
      <c r="G86" s="467"/>
      <c r="H86" s="476"/>
      <c r="I86" s="487"/>
      <c r="J86" s="485"/>
      <c r="K86" s="485"/>
      <c r="L86" s="483"/>
    </row>
    <row r="87" spans="7:12">
      <c r="G87" s="467"/>
      <c r="H87" s="476"/>
      <c r="I87" s="476"/>
      <c r="J87" s="476"/>
      <c r="K87" s="485"/>
      <c r="L87" s="483"/>
    </row>
    <row r="88" spans="7:12">
      <c r="G88" s="484"/>
      <c r="H88" s="476"/>
      <c r="I88" s="476"/>
      <c r="J88" s="476"/>
      <c r="K88" s="476"/>
      <c r="L88" s="485"/>
    </row>
    <row r="89" spans="7:12">
      <c r="G89" s="484"/>
      <c r="H89" s="476"/>
      <c r="I89" s="476"/>
      <c r="J89" s="476"/>
      <c r="K89" s="476"/>
      <c r="L89" s="485"/>
    </row>
    <row r="90" spans="7:12">
      <c r="G90" s="484"/>
      <c r="H90" s="476"/>
      <c r="I90" s="476"/>
      <c r="J90" s="476"/>
      <c r="K90" s="476"/>
      <c r="L90" s="485"/>
    </row>
    <row r="91" spans="7:12">
      <c r="G91" s="476"/>
      <c r="H91" s="476"/>
      <c r="I91" s="476"/>
      <c r="J91" s="476"/>
      <c r="K91" s="476"/>
      <c r="L91" s="485"/>
    </row>
    <row r="92" spans="7:12">
      <c r="G92" s="476"/>
      <c r="H92" s="476"/>
      <c r="I92" s="476"/>
      <c r="J92" s="476"/>
      <c r="K92" s="476"/>
      <c r="L92" s="485"/>
    </row>
    <row r="93" spans="7:12">
      <c r="G93" s="476"/>
      <c r="H93" s="476"/>
      <c r="I93" s="476"/>
      <c r="J93" s="476"/>
      <c r="K93" s="476"/>
      <c r="L93" s="476"/>
    </row>
    <row r="94" spans="7:12">
      <c r="G94" s="476"/>
      <c r="H94" s="476"/>
      <c r="I94" s="476"/>
      <c r="J94" s="476"/>
      <c r="K94" s="476"/>
      <c r="L94" s="476"/>
    </row>
    <row r="95" spans="7:12">
      <c r="G95" s="476"/>
      <c r="H95" s="476"/>
      <c r="I95" s="476"/>
      <c r="J95" s="476"/>
      <c r="K95" s="476"/>
      <c r="L95" s="476"/>
    </row>
    <row r="96" spans="7:12">
      <c r="G96" s="476"/>
      <c r="H96" s="476"/>
      <c r="I96" s="476"/>
      <c r="J96" s="476"/>
      <c r="K96" s="476"/>
      <c r="L96" s="476"/>
    </row>
    <row r="97" spans="7:12">
      <c r="G97" s="476"/>
      <c r="H97" s="476"/>
      <c r="I97" s="476"/>
      <c r="J97" s="476"/>
      <c r="K97" s="476"/>
      <c r="L97" s="476"/>
    </row>
    <row r="98" spans="7:12">
      <c r="G98" s="476"/>
      <c r="H98" s="476"/>
      <c r="I98" s="476"/>
      <c r="J98" s="476"/>
      <c r="K98" s="476"/>
      <c r="L98" s="476"/>
    </row>
    <row r="99" spans="7:12">
      <c r="G99" s="476"/>
      <c r="H99" s="476"/>
      <c r="I99" s="476"/>
      <c r="J99" s="476"/>
      <c r="K99" s="476"/>
      <c r="L99" s="476"/>
    </row>
    <row r="100" spans="7:12">
      <c r="G100" s="476"/>
      <c r="H100" s="476"/>
      <c r="I100" s="476"/>
      <c r="J100" s="476"/>
      <c r="K100" s="476"/>
      <c r="L100" s="476"/>
    </row>
    <row r="101" spans="7:12">
      <c r="G101" s="476"/>
      <c r="H101" s="476"/>
      <c r="I101" s="476"/>
      <c r="J101" s="476"/>
      <c r="K101" s="476"/>
      <c r="L101" s="476"/>
    </row>
    <row r="102" spans="7:12">
      <c r="G102" s="476"/>
      <c r="H102" s="476"/>
      <c r="I102" s="476"/>
      <c r="J102" s="476"/>
      <c r="K102" s="476"/>
      <c r="L102" s="476"/>
    </row>
    <row r="103" spans="7:12">
      <c r="G103" s="476"/>
      <c r="H103" s="476"/>
      <c r="I103" s="476"/>
      <c r="J103" s="476"/>
      <c r="K103" s="476"/>
      <c r="L103" s="476"/>
    </row>
    <row r="104" spans="7:12">
      <c r="G104" s="476"/>
      <c r="H104" s="476"/>
      <c r="I104" s="476"/>
      <c r="J104" s="476"/>
      <c r="K104" s="476"/>
      <c r="L104" s="476"/>
    </row>
    <row r="105" spans="7:12">
      <c r="G105" s="476"/>
      <c r="H105" s="476"/>
      <c r="I105" s="476"/>
      <c r="J105" s="476"/>
      <c r="K105" s="476"/>
      <c r="L105" s="476"/>
    </row>
    <row r="106" spans="7:12">
      <c r="G106" s="476"/>
      <c r="H106" s="476"/>
      <c r="I106" s="476"/>
      <c r="J106" s="476"/>
      <c r="K106" s="476"/>
      <c r="L106" s="476"/>
    </row>
    <row r="107" spans="7:12">
      <c r="G107" s="476"/>
      <c r="H107" s="476"/>
      <c r="I107" s="476"/>
      <c r="J107" s="476"/>
      <c r="K107" s="476"/>
      <c r="L107" s="476"/>
    </row>
    <row r="108" spans="7:12">
      <c r="G108" s="476"/>
      <c r="H108" s="476"/>
      <c r="I108" s="476"/>
      <c r="J108" s="476"/>
      <c r="K108" s="476"/>
      <c r="L108" s="476"/>
    </row>
    <row r="109" spans="7:12">
      <c r="G109" s="476"/>
      <c r="H109" s="476"/>
      <c r="I109" s="476"/>
      <c r="J109" s="476"/>
      <c r="K109" s="476"/>
      <c r="L109" s="476"/>
    </row>
    <row r="110" spans="7:12">
      <c r="G110" s="476"/>
      <c r="H110" s="476"/>
      <c r="I110" s="476"/>
      <c r="J110" s="476"/>
      <c r="K110" s="476"/>
      <c r="L110" s="476"/>
    </row>
    <row r="111" spans="7:12">
      <c r="G111" s="476"/>
      <c r="H111" s="476"/>
      <c r="I111" s="476"/>
      <c r="J111" s="476"/>
      <c r="K111" s="476"/>
      <c r="L111" s="476"/>
    </row>
    <row r="112" spans="7:12">
      <c r="G112" s="476"/>
      <c r="H112" s="476"/>
      <c r="I112" s="476"/>
      <c r="J112" s="476"/>
      <c r="K112" s="476"/>
      <c r="L112" s="476"/>
    </row>
    <row r="113" spans="7:12">
      <c r="G113" s="476"/>
      <c r="H113" s="476"/>
      <c r="I113" s="476"/>
      <c r="J113" s="476"/>
      <c r="K113" s="476"/>
      <c r="L113" s="476"/>
    </row>
    <row r="114" spans="7:12">
      <c r="G114" s="476"/>
      <c r="H114" s="476"/>
      <c r="I114" s="476"/>
      <c r="J114" s="476"/>
      <c r="K114" s="476"/>
      <c r="L114" s="476"/>
    </row>
    <row r="115" spans="7:12">
      <c r="G115" s="476"/>
      <c r="H115" s="476"/>
      <c r="I115" s="476"/>
      <c r="J115" s="476"/>
      <c r="K115" s="476"/>
      <c r="L115" s="476"/>
    </row>
    <row r="116" spans="7:12">
      <c r="G116" s="476"/>
      <c r="I116" s="476"/>
      <c r="J116" s="476"/>
      <c r="K116" s="476"/>
      <c r="L116" s="476"/>
    </row>
    <row r="117" spans="7:12">
      <c r="G117" s="476"/>
      <c r="I117" s="476"/>
      <c r="J117" s="476"/>
      <c r="K117" s="476"/>
      <c r="L117" s="476"/>
    </row>
    <row r="118" spans="7:12">
      <c r="G118" s="476"/>
      <c r="L118" s="476"/>
    </row>
    <row r="119" spans="7:12">
      <c r="G119" s="476"/>
      <c r="L119" s="476"/>
    </row>
    <row r="120" spans="7:12">
      <c r="G120" s="476"/>
      <c r="L120" s="476"/>
    </row>
    <row r="121" spans="7:12">
      <c r="G121" s="476"/>
      <c r="L121" s="476"/>
    </row>
    <row r="122" spans="7:12">
      <c r="L122" s="476"/>
    </row>
  </sheetData>
  <mergeCells count="30">
    <mergeCell ref="M52:O52"/>
    <mergeCell ref="H33:I33"/>
    <mergeCell ref="H34:I34"/>
    <mergeCell ref="M35:O35"/>
    <mergeCell ref="H36:K36"/>
    <mergeCell ref="H38:I38"/>
    <mergeCell ref="M38:N38"/>
    <mergeCell ref="H39:I39"/>
    <mergeCell ref="H40:I40"/>
    <mergeCell ref="M40:O40"/>
    <mergeCell ref="H41:I41"/>
    <mergeCell ref="M45:O45"/>
    <mergeCell ref="H30:K30"/>
    <mergeCell ref="M30:O30"/>
    <mergeCell ref="H31:I31"/>
    <mergeCell ref="M31:N31"/>
    <mergeCell ref="H32:I32"/>
    <mergeCell ref="M32:O32"/>
    <mergeCell ref="H27:I27"/>
    <mergeCell ref="B2:F2"/>
    <mergeCell ref="M2:Q2"/>
    <mergeCell ref="B3:D3"/>
    <mergeCell ref="H3:K3"/>
    <mergeCell ref="M3:P3"/>
    <mergeCell ref="B9:D9"/>
    <mergeCell ref="B16:D16"/>
    <mergeCell ref="H23:K23"/>
    <mergeCell ref="H24:I25"/>
    <mergeCell ref="M24:O24"/>
    <mergeCell ref="H26:I26"/>
  </mergeCells>
  <pageMargins left="0.25" right="0.25" top="0.5" bottom="0.5" header="0.3" footer="0.3"/>
  <pageSetup scale="41" orientation="landscape" cellComments="asDisplayed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opLeftCell="A16" zoomScale="70" zoomScaleNormal="70" zoomScaleSheetLayoutView="50" workbookViewId="0">
      <selection activeCell="F26" sqref="F26"/>
    </sheetView>
  </sheetViews>
  <sheetFormatPr defaultColWidth="9.140625" defaultRowHeight="12.75"/>
  <cols>
    <col min="1" max="1" width="10.7109375" style="222" customWidth="1"/>
    <col min="2" max="2" width="36.5703125" style="222" customWidth="1"/>
    <col min="3" max="3" width="11" style="222" bestFit="1" customWidth="1"/>
    <col min="4" max="4" width="11" style="222" customWidth="1"/>
    <col min="5" max="5" width="8.85546875" style="222" bestFit="1" customWidth="1"/>
    <col min="6" max="6" width="51" style="222" customWidth="1"/>
    <col min="7" max="7" width="10.7109375" style="222" customWidth="1"/>
    <col min="8" max="8" width="9.140625" style="222"/>
    <col min="9" max="9" width="27.28515625" style="222" bestFit="1" customWidth="1"/>
    <col min="10" max="10" width="15" style="222" bestFit="1" customWidth="1"/>
    <col min="11" max="11" width="16.28515625" style="222" bestFit="1" customWidth="1"/>
    <col min="12" max="12" width="16.7109375" style="222" bestFit="1" customWidth="1"/>
    <col min="13" max="16384" width="9.140625" style="222"/>
  </cols>
  <sheetData>
    <row r="1" spans="1:12" ht="13.5" thickBot="1">
      <c r="B1" s="488"/>
      <c r="C1" s="489"/>
      <c r="D1" s="489"/>
      <c r="E1" s="489"/>
      <c r="F1" s="490"/>
    </row>
    <row r="2" spans="1:12" ht="16.5" customHeight="1" thickBot="1">
      <c r="A2" s="491"/>
      <c r="B2" s="1274" t="s">
        <v>170</v>
      </c>
      <c r="C2" s="1275"/>
      <c r="D2" s="1275"/>
      <c r="E2" s="1275"/>
      <c r="F2" s="1276"/>
      <c r="G2" s="491"/>
      <c r="I2" s="1317" t="s">
        <v>246</v>
      </c>
      <c r="J2" s="1318"/>
      <c r="K2" s="1318"/>
      <c r="L2" s="1319"/>
    </row>
    <row r="3" spans="1:12" ht="15.75">
      <c r="A3" s="491"/>
      <c r="B3" s="1278" t="s">
        <v>171</v>
      </c>
      <c r="C3" s="1279"/>
      <c r="D3" s="1279"/>
      <c r="E3" s="1280"/>
      <c r="F3" s="227" t="s">
        <v>173</v>
      </c>
      <c r="G3" s="491"/>
      <c r="H3"/>
      <c r="I3" s="492" t="s">
        <v>179</v>
      </c>
      <c r="J3" s="493">
        <v>8</v>
      </c>
      <c r="K3" s="494" t="s">
        <v>180</v>
      </c>
      <c r="L3" s="495">
        <f>J3*365</f>
        <v>2920</v>
      </c>
    </row>
    <row r="4" spans="1:12" ht="31.5">
      <c r="A4" s="496"/>
      <c r="B4" s="232" t="s">
        <v>177</v>
      </c>
      <c r="C4" s="233">
        <f>'[11]IFC-Inte &amp; Enhanced FC Rebased'!E4</f>
        <v>43971.200000000004</v>
      </c>
      <c r="D4" s="233"/>
      <c r="E4" s="234"/>
      <c r="F4" s="235" t="str">
        <f>'[11]IFC-Inte &amp; Enhanced FC Rebased'!F4</f>
        <v>11/1/19: Benchmark to BLS Caseworker: Minimum education = BA or 8 years related experience</v>
      </c>
      <c r="G4" s="496"/>
      <c r="H4"/>
      <c r="I4" s="497" t="s">
        <v>1</v>
      </c>
      <c r="J4" s="498" t="s">
        <v>183</v>
      </c>
      <c r="K4" s="498" t="s">
        <v>184</v>
      </c>
      <c r="L4" s="499" t="s">
        <v>185</v>
      </c>
    </row>
    <row r="5" spans="1:12" ht="31.5">
      <c r="A5" s="500"/>
      <c r="B5" s="232" t="s">
        <v>181</v>
      </c>
      <c r="C5" s="233">
        <v>41517</v>
      </c>
      <c r="D5" s="233"/>
      <c r="E5" s="234"/>
      <c r="F5" s="235" t="str">
        <f>'[11]IFC-Inte &amp; Enhanced FC Rebased'!F5</f>
        <v>11/1/19: Benchmark to Direct Care III: Minimum education = BA or 5+ years related experience</v>
      </c>
      <c r="G5" s="500"/>
      <c r="H5"/>
      <c r="I5" s="501" t="s">
        <v>177</v>
      </c>
      <c r="J5" s="1172">
        <f>C4</f>
        <v>43971.200000000004</v>
      </c>
      <c r="K5" s="502">
        <f>J3*C12</f>
        <v>0.32</v>
      </c>
      <c r="L5" s="503">
        <f>K5*J5</f>
        <v>14070.784000000001</v>
      </c>
    </row>
    <row r="6" spans="1:12" ht="31.5">
      <c r="A6" s="500"/>
      <c r="B6" s="255" t="s">
        <v>186</v>
      </c>
      <c r="C6" s="233">
        <f>'[11]IFC-Inte &amp; Enhanced FC Rebased'!E6</f>
        <v>52665.599999999999</v>
      </c>
      <c r="D6" s="233"/>
      <c r="E6" s="234"/>
      <c r="F6" s="235" t="str">
        <f>'[11]IFC-Inte &amp; Enhanced FC Rebased'!F6</f>
        <v>11/1/19: Benchmark to BLS Caseworker: Minimum education = BA or 8 years related experience</v>
      </c>
      <c r="G6" s="500"/>
      <c r="H6"/>
      <c r="I6" s="501" t="s">
        <v>181</v>
      </c>
      <c r="J6" s="1172">
        <f>C5</f>
        <v>41517</v>
      </c>
      <c r="K6" s="504">
        <f>J3*C13</f>
        <v>0.16666666666666666</v>
      </c>
      <c r="L6" s="503">
        <f>K6*J6</f>
        <v>6919.5</v>
      </c>
    </row>
    <row r="7" spans="1:12" ht="31.5">
      <c r="A7" s="500"/>
      <c r="B7" s="232" t="s">
        <v>187</v>
      </c>
      <c r="C7" s="233">
        <f>'[11]IFC-Inte &amp; Enhanced FC Rebased'!E7</f>
        <v>32198.400000000001</v>
      </c>
      <c r="D7" s="233"/>
      <c r="E7" s="505"/>
      <c r="F7" s="235" t="str">
        <f>'[11]IFC-Inte &amp; Enhanced FC Rebased'!F7</f>
        <v xml:space="preserve">11/1/19: Benchmark to Direct Care : Minimum education = HS Diploma / GED / Associates </v>
      </c>
      <c r="G7" s="500"/>
      <c r="H7"/>
      <c r="I7" s="506" t="s">
        <v>247</v>
      </c>
      <c r="J7" s="1172">
        <f>C6</f>
        <v>52665.599999999999</v>
      </c>
      <c r="K7" s="504">
        <f>J3*C14</f>
        <v>1</v>
      </c>
      <c r="L7" s="503">
        <f>K7*J7</f>
        <v>52665.599999999999</v>
      </c>
    </row>
    <row r="8" spans="1:12" ht="15.75">
      <c r="A8" s="500"/>
      <c r="B8" s="232" t="s">
        <v>189</v>
      </c>
      <c r="C8" s="233">
        <f>52305*(3.93%+1)*(1.87%+1)*(2.64386%+1)</f>
        <v>56841.223242690765</v>
      </c>
      <c r="D8" s="233"/>
      <c r="E8" s="234"/>
      <c r="F8" s="507" t="s">
        <v>190</v>
      </c>
      <c r="G8" s="500"/>
      <c r="H8"/>
      <c r="I8" s="501" t="s">
        <v>187</v>
      </c>
      <c r="J8" s="1172">
        <f>C7</f>
        <v>32198.400000000001</v>
      </c>
      <c r="K8" s="504">
        <f>C15</f>
        <v>1.25</v>
      </c>
      <c r="L8" s="503">
        <f>K8*J8</f>
        <v>40248</v>
      </c>
    </row>
    <row r="9" spans="1:12" ht="31.15" customHeight="1">
      <c r="A9" s="500"/>
      <c r="B9" s="264" t="s">
        <v>248</v>
      </c>
      <c r="C9" s="1166">
        <f>[11]Chart!C20</f>
        <v>86860.800000000003</v>
      </c>
      <c r="D9" s="1166"/>
      <c r="E9" s="266"/>
      <c r="F9" s="235" t="s">
        <v>249</v>
      </c>
      <c r="G9" s="500"/>
      <c r="H9"/>
      <c r="I9" s="501" t="s">
        <v>189</v>
      </c>
      <c r="J9" s="1172">
        <f t="shared" ref="J9" si="0">C8</f>
        <v>56841.223242690765</v>
      </c>
      <c r="K9" s="1173">
        <f>J3*C16</f>
        <v>0.1</v>
      </c>
      <c r="L9" s="503">
        <f>J9*K9</f>
        <v>5684.1223242690767</v>
      </c>
    </row>
    <row r="10" spans="1:12" ht="16.5" thickBot="1">
      <c r="A10" s="508"/>
      <c r="B10" s="1284" t="s">
        <v>191</v>
      </c>
      <c r="C10" s="1285"/>
      <c r="D10" s="1285"/>
      <c r="E10" s="1286"/>
      <c r="F10" s="271"/>
      <c r="G10" s="508"/>
      <c r="H10"/>
      <c r="I10" s="501" t="s">
        <v>248</v>
      </c>
      <c r="J10" s="1174">
        <f>C9</f>
        <v>86860.800000000003</v>
      </c>
      <c r="K10" s="1175">
        <f>C17</f>
        <v>0.25</v>
      </c>
      <c r="L10" s="509">
        <f>K10*J10</f>
        <v>21715.200000000001</v>
      </c>
    </row>
    <row r="11" spans="1:12" ht="16.5" thickBot="1">
      <c r="A11" s="510"/>
      <c r="B11" s="273" t="s">
        <v>192</v>
      </c>
      <c r="C11" s="274" t="s">
        <v>193</v>
      </c>
      <c r="D11" s="274"/>
      <c r="E11" s="275"/>
      <c r="F11" s="277"/>
      <c r="G11" s="510"/>
      <c r="H11"/>
      <c r="I11" s="511" t="s">
        <v>196</v>
      </c>
      <c r="J11" s="1176"/>
      <c r="K11" s="1177">
        <f>SUM(K5:K10)</f>
        <v>3.0866666666666669</v>
      </c>
      <c r="L11" s="512">
        <f>SUM(L5:L10)</f>
        <v>141303.20632426906</v>
      </c>
    </row>
    <row r="12" spans="1:12" ht="15.75">
      <c r="A12" s="513"/>
      <c r="B12" s="232" t="s">
        <v>177</v>
      </c>
      <c r="C12" s="281">
        <f>1/25</f>
        <v>0.04</v>
      </c>
      <c r="D12" s="281"/>
      <c r="E12" s="282"/>
      <c r="F12" s="284" t="s">
        <v>195</v>
      </c>
      <c r="G12" s="513"/>
      <c r="H12"/>
      <c r="I12" s="514" t="s">
        <v>199</v>
      </c>
      <c r="J12" s="706"/>
      <c r="K12" s="1178">
        <f>E19</f>
        <v>0.22309999999999999</v>
      </c>
      <c r="L12" s="515">
        <f>L11*K12</f>
        <v>31524.745330944428</v>
      </c>
    </row>
    <row r="13" spans="1:12" ht="16.5" thickBot="1">
      <c r="A13" s="516"/>
      <c r="B13" s="232" t="s">
        <v>181</v>
      </c>
      <c r="C13" s="281">
        <f>1/6/8</f>
        <v>2.0833333333333332E-2</v>
      </c>
      <c r="D13" s="281"/>
      <c r="E13" s="292"/>
      <c r="F13" s="284" t="s">
        <v>197</v>
      </c>
      <c r="G13" s="516"/>
      <c r="H13"/>
      <c r="I13" s="517" t="s">
        <v>200</v>
      </c>
      <c r="J13" s="1179"/>
      <c r="K13" s="1179"/>
      <c r="L13" s="518">
        <f>L11+L12</f>
        <v>172827.95165521349</v>
      </c>
    </row>
    <row r="14" spans="1:12" ht="16.5" thickTop="1">
      <c r="A14" s="513"/>
      <c r="B14" s="232" t="s">
        <v>186</v>
      </c>
      <c r="C14" s="281">
        <f>1/8</f>
        <v>0.125</v>
      </c>
      <c r="D14" s="281"/>
      <c r="E14" s="282"/>
      <c r="F14" s="284" t="s">
        <v>250</v>
      </c>
      <c r="G14" s="513"/>
      <c r="H14"/>
      <c r="I14" s="329" t="str">
        <f>B27</f>
        <v>PFLMA Trust Contribution</v>
      </c>
      <c r="J14" s="1180"/>
      <c r="K14" s="1180">
        <f>E27</f>
        <v>3.7000000000000002E-3</v>
      </c>
      <c r="L14" s="519">
        <f>K14*L11</f>
        <v>522.82186339979557</v>
      </c>
    </row>
    <row r="15" spans="1:12" ht="31.5">
      <c r="A15" s="520"/>
      <c r="B15" s="232" t="s">
        <v>187</v>
      </c>
      <c r="C15" s="281">
        <v>1.25</v>
      </c>
      <c r="D15" s="281"/>
      <c r="E15" s="282"/>
      <c r="F15" s="284" t="s">
        <v>251</v>
      </c>
      <c r="G15" s="520"/>
      <c r="H15"/>
      <c r="I15" s="232" t="s">
        <v>202</v>
      </c>
      <c r="J15" s="367"/>
      <c r="K15" s="1181">
        <f>E20</f>
        <v>13.040716545498311</v>
      </c>
      <c r="L15" s="521">
        <f>K15*L3</f>
        <v>38078.892312855067</v>
      </c>
    </row>
    <row r="16" spans="1:12" ht="15.75">
      <c r="A16" s="513"/>
      <c r="B16" s="232" t="s">
        <v>189</v>
      </c>
      <c r="C16" s="281">
        <f>0.1/8</f>
        <v>1.2500000000000001E-2</v>
      </c>
      <c r="D16" s="281"/>
      <c r="E16" s="522"/>
      <c r="F16" s="284" t="s">
        <v>195</v>
      </c>
      <c r="G16" s="513"/>
      <c r="H16"/>
      <c r="I16" s="232" t="s">
        <v>204</v>
      </c>
      <c r="J16" s="367"/>
      <c r="K16" s="1181">
        <f>E25</f>
        <v>2.91</v>
      </c>
      <c r="L16" s="521">
        <f>K16*L3</f>
        <v>8497.2000000000007</v>
      </c>
    </row>
    <row r="17" spans="1:14" ht="16.5" thickBot="1">
      <c r="A17" s="523"/>
      <c r="B17" s="264" t="s">
        <v>248</v>
      </c>
      <c r="C17" s="308">
        <v>0.25</v>
      </c>
      <c r="D17" s="308"/>
      <c r="E17" s="309"/>
      <c r="F17" s="311" t="s">
        <v>195</v>
      </c>
      <c r="G17" s="523"/>
      <c r="H17"/>
      <c r="I17" s="524" t="s">
        <v>207</v>
      </c>
      <c r="J17" s="1182"/>
      <c r="K17" s="1182"/>
      <c r="L17" s="525">
        <f>SUM(L13:L16)</f>
        <v>219926.86583146837</v>
      </c>
    </row>
    <row r="18" spans="1:14" ht="15.75">
      <c r="A18" s="491"/>
      <c r="B18" s="1284" t="s">
        <v>201</v>
      </c>
      <c r="C18" s="1285"/>
      <c r="D18" s="1285"/>
      <c r="E18" s="1286"/>
      <c r="F18" s="277"/>
      <c r="G18" s="491"/>
      <c r="H18"/>
      <c r="I18" s="232" t="str">
        <f>F26</f>
        <v>Prospective period FY21 &amp; FY22</v>
      </c>
      <c r="J18" s="320"/>
      <c r="K18" s="1180">
        <f>E26</f>
        <v>1.78E-2</v>
      </c>
      <c r="L18" s="330">
        <f>(L17*(K18+1)-(L11*K18+1))</f>
        <v>221325.36697069652</v>
      </c>
    </row>
    <row r="19" spans="1:14" ht="16.5" thickBot="1">
      <c r="A19" s="526"/>
      <c r="B19" s="232" t="s">
        <v>48</v>
      </c>
      <c r="C19" s="320"/>
      <c r="D19" s="320"/>
      <c r="E19" s="616">
        <f>[11]Chart!C30</f>
        <v>0.22309999999999999</v>
      </c>
      <c r="F19" s="322"/>
      <c r="G19" s="526"/>
      <c r="H19"/>
      <c r="I19" s="527" t="s">
        <v>210</v>
      </c>
      <c r="J19" s="528"/>
      <c r="K19" s="528"/>
      <c r="L19" s="529">
        <f>L18/L3</f>
        <v>75.796358551608392</v>
      </c>
    </row>
    <row r="20" spans="1:14" ht="16.5" thickBot="1">
      <c r="A20" s="530"/>
      <c r="B20" s="232" t="s">
        <v>205</v>
      </c>
      <c r="C20" s="324"/>
      <c r="D20" s="324"/>
      <c r="E20" s="1167">
        <f>12*(3.93%+1)*(2.64386%+1)*(1.87%+1)</f>
        <v>13.040716545498311</v>
      </c>
      <c r="F20" s="531"/>
      <c r="G20" s="530"/>
      <c r="H20" s="532"/>
      <c r="I20"/>
      <c r="L20" s="220"/>
      <c r="M20" s="442"/>
    </row>
    <row r="21" spans="1:14" ht="16.5" thickBot="1">
      <c r="A21" s="530"/>
      <c r="B21" s="335" t="s">
        <v>209</v>
      </c>
      <c r="C21" s="336"/>
      <c r="D21" s="336"/>
      <c r="E21" s="533">
        <v>3.9300000000000002E-2</v>
      </c>
      <c r="F21" s="534"/>
      <c r="G21" s="530"/>
      <c r="H21" s="532"/>
      <c r="I21" s="1314" t="s">
        <v>253</v>
      </c>
      <c r="J21" s="1315"/>
      <c r="K21" s="1316"/>
      <c r="L21" s="535"/>
    </row>
    <row r="22" spans="1:14" ht="15.75">
      <c r="A22" s="530"/>
      <c r="B22" s="335" t="s">
        <v>211</v>
      </c>
      <c r="C22" s="336"/>
      <c r="D22" s="336"/>
      <c r="E22" s="533">
        <v>4.5999999999999999E-2</v>
      </c>
      <c r="F22" s="534"/>
      <c r="G22" s="530"/>
      <c r="H22"/>
      <c r="I22" s="536"/>
      <c r="J22" s="537" t="s">
        <v>217</v>
      </c>
      <c r="K22" s="538" t="s">
        <v>218</v>
      </c>
      <c r="L22" s="532"/>
    </row>
    <row r="23" spans="1:14" ht="15.75">
      <c r="A23" s="539"/>
      <c r="B23" s="335" t="s">
        <v>212</v>
      </c>
      <c r="C23" s="336"/>
      <c r="D23" s="336"/>
      <c r="E23" s="533">
        <v>2.6438643292682744E-2</v>
      </c>
      <c r="F23" s="540"/>
      <c r="G23" s="539"/>
      <c r="H23"/>
      <c r="I23" s="541" t="s">
        <v>254</v>
      </c>
      <c r="J23" s="542">
        <v>25.16</v>
      </c>
      <c r="K23" s="543">
        <f>E29</f>
        <v>27.02</v>
      </c>
      <c r="L23" s="532"/>
    </row>
    <row r="24" spans="1:14" ht="15.75">
      <c r="A24" s="513"/>
      <c r="B24" s="335" t="s">
        <v>213</v>
      </c>
      <c r="C24" s="336"/>
      <c r="D24" s="336"/>
      <c r="E24" s="533">
        <v>1.8700000000000001E-2</v>
      </c>
      <c r="F24" s="534"/>
      <c r="G24" s="513"/>
      <c r="H24"/>
      <c r="I24" s="541" t="s">
        <v>226</v>
      </c>
      <c r="J24" s="542">
        <v>55.54</v>
      </c>
      <c r="K24" s="544">
        <f>J24*(E26+1)</f>
        <v>56.528612000000003</v>
      </c>
      <c r="L24" s="532"/>
    </row>
    <row r="25" spans="1:14" ht="32.25" thickBot="1">
      <c r="A25" s="545"/>
      <c r="B25" s="366" t="s">
        <v>215</v>
      </c>
      <c r="C25" s="367"/>
      <c r="D25" s="367"/>
      <c r="E25" s="546">
        <v>2.91</v>
      </c>
      <c r="F25" s="534" t="s">
        <v>216</v>
      </c>
      <c r="G25" s="545"/>
      <c r="H25" s="532"/>
      <c r="I25" s="547"/>
      <c r="J25" s="548">
        <v>70</v>
      </c>
      <c r="K25" s="549">
        <f>SUM(K23:K24)</f>
        <v>83.548612000000006</v>
      </c>
      <c r="L25" s="532"/>
      <c r="N25" s="550"/>
    </row>
    <row r="26" spans="1:14" ht="15.75">
      <c r="A26" s="545"/>
      <c r="B26" s="551" t="s">
        <v>220</v>
      </c>
      <c r="C26" s="552"/>
      <c r="D26" s="552"/>
      <c r="E26" s="1170">
        <f>[11]Chart!C32</f>
        <v>1.78E-2</v>
      </c>
      <c r="F26" s="377" t="s">
        <v>52</v>
      </c>
      <c r="G26" s="545"/>
      <c r="H26"/>
      <c r="I26" s="553"/>
      <c r="J26" s="532"/>
      <c r="K26" s="554"/>
      <c r="L26" s="532"/>
    </row>
    <row r="27" spans="1:14" ht="16.5" thickBot="1">
      <c r="A27" s="555"/>
      <c r="B27" s="556" t="s">
        <v>221</v>
      </c>
      <c r="C27" s="557"/>
      <c r="D27" s="557"/>
      <c r="E27" s="1171">
        <f>[11]Chart!C31</f>
        <v>3.7000000000000002E-3</v>
      </c>
      <c r="F27" s="558" t="s">
        <v>222</v>
      </c>
      <c r="G27" s="555"/>
      <c r="H27"/>
      <c r="I27" s="559"/>
      <c r="J27" s="532"/>
      <c r="K27" s="532"/>
      <c r="L27" s="532"/>
      <c r="M27" s="560"/>
    </row>
    <row r="28" spans="1:14" ht="16.5" thickBot="1">
      <c r="A28" s="532"/>
      <c r="B28" s="390" t="s">
        <v>224</v>
      </c>
      <c r="C28" s="391"/>
      <c r="D28" s="392"/>
      <c r="E28" s="393">
        <v>25.16</v>
      </c>
      <c r="F28" s="394" t="s">
        <v>195</v>
      </c>
      <c r="G28" s="532"/>
      <c r="H28" s="532"/>
      <c r="I28" s="559"/>
      <c r="J28" s="532"/>
      <c r="K28" s="532"/>
      <c r="L28" s="532"/>
      <c r="M28" s="560"/>
    </row>
    <row r="29" spans="1:14" ht="16.5" thickBot="1">
      <c r="A29" s="530"/>
      <c r="B29" s="390" t="s">
        <v>227</v>
      </c>
      <c r="C29" s="391"/>
      <c r="D29" s="392"/>
      <c r="E29" s="393">
        <v>27.02</v>
      </c>
      <c r="F29" s="394" t="s">
        <v>195</v>
      </c>
      <c r="G29" s="530"/>
      <c r="H29" s="44"/>
      <c r="I29" s="560"/>
      <c r="J29" s="560"/>
      <c r="K29" s="560"/>
      <c r="L29" s="560"/>
    </row>
    <row r="30" spans="1:14" ht="15">
      <c r="A30" s="530"/>
      <c r="B30" s="532"/>
      <c r="C30" s="532"/>
      <c r="D30" s="532"/>
      <c r="E30" s="532"/>
      <c r="F30" s="532"/>
      <c r="G30" s="530"/>
      <c r="H30" s="44"/>
      <c r="I30" s="560"/>
      <c r="J30" s="560"/>
      <c r="K30" s="560"/>
      <c r="L30" s="560"/>
      <c r="M30" s="560"/>
    </row>
    <row r="31" spans="1:14" ht="23.25" hidden="1">
      <c r="A31" s="532"/>
      <c r="G31" s="532"/>
      <c r="I31" s="561" t="s">
        <v>255</v>
      </c>
      <c r="J31" s="562" t="s">
        <v>59</v>
      </c>
      <c r="K31" s="562" t="s">
        <v>230</v>
      </c>
      <c r="L31" s="563"/>
    </row>
    <row r="32" spans="1:14" ht="15" hidden="1">
      <c r="I32" s="564" t="s">
        <v>256</v>
      </c>
      <c r="J32" s="565">
        <v>74.02</v>
      </c>
      <c r="K32" s="566">
        <f>J32*(E26+1)</f>
        <v>75.337555999999992</v>
      </c>
      <c r="L32" s="567"/>
    </row>
    <row r="33" spans="1:12" ht="15" hidden="1">
      <c r="I33" s="564" t="s">
        <v>257</v>
      </c>
      <c r="J33" s="568">
        <v>80.7</v>
      </c>
      <c r="K33" s="569">
        <f>J33*(E26+1)</f>
        <v>82.13646</v>
      </c>
      <c r="L33" s="567"/>
    </row>
    <row r="34" spans="1:12" ht="15" hidden="1">
      <c r="I34" s="570" t="s">
        <v>65</v>
      </c>
      <c r="J34" s="571">
        <f>SUM(J32:J33)</f>
        <v>154.72</v>
      </c>
      <c r="K34" s="572">
        <f>SUM(K32:K33)</f>
        <v>157.47401600000001</v>
      </c>
      <c r="L34" s="573">
        <f>(K34-J34)/J34</f>
        <v>1.7800000000000045E-2</v>
      </c>
    </row>
    <row r="35" spans="1:12" ht="15" hidden="1">
      <c r="H35"/>
      <c r="I35" s="532"/>
      <c r="J35" s="560"/>
      <c r="K35" s="560"/>
      <c r="L35" s="560"/>
    </row>
    <row r="36" spans="1:12" ht="15">
      <c r="H36"/>
      <c r="I36" s="532"/>
      <c r="J36" s="560"/>
      <c r="K36" s="560"/>
      <c r="L36" s="560"/>
    </row>
    <row r="37" spans="1:12" ht="15">
      <c r="H37"/>
      <c r="I37"/>
    </row>
    <row r="38" spans="1:12" ht="15">
      <c r="B38" s="574"/>
      <c r="C38" s="574"/>
      <c r="D38" s="574"/>
      <c r="E38" s="574"/>
      <c r="F38" s="574"/>
      <c r="H38"/>
      <c r="I38"/>
    </row>
    <row r="39" spans="1:12" ht="15">
      <c r="A39" s="574"/>
      <c r="B39" s="574"/>
      <c r="C39" s="574"/>
      <c r="D39" s="574"/>
      <c r="E39" s="574"/>
      <c r="F39" s="574"/>
      <c r="G39" s="574"/>
      <c r="H39"/>
      <c r="I39"/>
      <c r="L39" s="574"/>
    </row>
    <row r="40" spans="1:12" ht="15">
      <c r="A40" s="574"/>
      <c r="B40" s="574"/>
      <c r="C40" s="574"/>
      <c r="D40" s="574"/>
      <c r="E40" s="574"/>
      <c r="F40" s="574"/>
      <c r="G40" s="574"/>
      <c r="H40"/>
      <c r="I40"/>
    </row>
    <row r="41" spans="1:12" ht="15">
      <c r="A41" s="574"/>
      <c r="B41" s="574"/>
      <c r="C41" s="574"/>
      <c r="D41" s="574"/>
      <c r="E41" s="574"/>
      <c r="F41" s="574"/>
      <c r="G41" s="574"/>
      <c r="H41"/>
      <c r="I41"/>
    </row>
    <row r="42" spans="1:12" ht="15">
      <c r="A42" s="574"/>
      <c r="G42" s="574"/>
      <c r="H42"/>
      <c r="I42"/>
    </row>
    <row r="43" spans="1:12" ht="15">
      <c r="H43"/>
      <c r="I43"/>
    </row>
    <row r="44" spans="1:12" ht="15">
      <c r="H44"/>
      <c r="I44"/>
    </row>
    <row r="45" spans="1:12" ht="15">
      <c r="H45"/>
      <c r="I45"/>
    </row>
    <row r="46" spans="1:12" ht="15">
      <c r="H46"/>
      <c r="I46"/>
    </row>
    <row r="47" spans="1:12" ht="15">
      <c r="B47" s="575"/>
      <c r="C47" s="575"/>
      <c r="D47" s="575"/>
      <c r="E47" s="575"/>
      <c r="F47" s="575"/>
      <c r="H47"/>
      <c r="I47"/>
    </row>
    <row r="48" spans="1:12" ht="15">
      <c r="A48" s="575"/>
      <c r="B48" s="575"/>
      <c r="C48" s="575"/>
      <c r="D48" s="575"/>
      <c r="E48" s="575"/>
      <c r="F48" s="575"/>
      <c r="G48" s="575"/>
      <c r="I48"/>
    </row>
    <row r="49" spans="1:9" ht="15">
      <c r="A49" s="575"/>
      <c r="B49" s="575"/>
      <c r="C49" s="575"/>
      <c r="D49" s="575"/>
      <c r="E49" s="575"/>
      <c r="F49" s="575"/>
      <c r="G49" s="575"/>
      <c r="I49"/>
    </row>
    <row r="50" spans="1:9" ht="15">
      <c r="A50" s="575"/>
      <c r="B50" s="476"/>
      <c r="C50" s="476"/>
      <c r="D50" s="476"/>
      <c r="E50" s="476"/>
      <c r="F50" s="476"/>
      <c r="G50" s="575"/>
      <c r="I50"/>
    </row>
    <row r="51" spans="1:9" ht="15">
      <c r="A51" s="476"/>
      <c r="B51" s="476"/>
      <c r="C51" s="476"/>
      <c r="D51" s="476"/>
      <c r="E51" s="476"/>
      <c r="F51" s="476"/>
      <c r="G51" s="476"/>
      <c r="I51"/>
    </row>
    <row r="52" spans="1:9" ht="15">
      <c r="A52" s="476"/>
      <c r="B52" s="476"/>
      <c r="C52" s="476"/>
      <c r="D52" s="476"/>
      <c r="E52" s="476"/>
      <c r="F52" s="476"/>
      <c r="G52" s="476"/>
      <c r="I52"/>
    </row>
    <row r="53" spans="1:9" ht="15">
      <c r="A53" s="476"/>
      <c r="B53" s="476"/>
      <c r="C53" s="476"/>
      <c r="D53" s="476"/>
      <c r="E53" s="476"/>
      <c r="F53" s="476"/>
      <c r="G53" s="476"/>
      <c r="I53"/>
    </row>
    <row r="54" spans="1:9" ht="15">
      <c r="A54" s="476"/>
      <c r="B54" s="476"/>
      <c r="C54" s="476"/>
      <c r="D54" s="476"/>
      <c r="E54" s="476"/>
      <c r="F54" s="476"/>
      <c r="G54" s="476"/>
      <c r="I54"/>
    </row>
    <row r="55" spans="1:9" ht="15">
      <c r="A55" s="476"/>
      <c r="B55" s="476"/>
      <c r="C55" s="476"/>
      <c r="D55" s="476"/>
      <c r="E55" s="476"/>
      <c r="F55" s="476"/>
      <c r="G55" s="476"/>
      <c r="I55"/>
    </row>
    <row r="56" spans="1:9">
      <c r="A56" s="476"/>
      <c r="B56" s="476"/>
      <c r="C56" s="476"/>
      <c r="D56" s="476"/>
      <c r="E56" s="476"/>
      <c r="F56" s="476"/>
      <c r="G56" s="476"/>
    </row>
    <row r="57" spans="1:9">
      <c r="A57" s="476"/>
      <c r="B57" s="476"/>
      <c r="C57" s="476"/>
      <c r="D57" s="476"/>
      <c r="E57" s="476"/>
      <c r="F57" s="476"/>
      <c r="G57" s="476"/>
    </row>
    <row r="58" spans="1:9">
      <c r="A58" s="476"/>
      <c r="B58" s="476"/>
      <c r="C58" s="476"/>
      <c r="D58" s="476"/>
      <c r="E58" s="476"/>
      <c r="F58" s="476"/>
      <c r="G58" s="476"/>
    </row>
    <row r="59" spans="1:9">
      <c r="A59" s="476"/>
      <c r="B59" s="476"/>
      <c r="C59" s="476"/>
      <c r="D59" s="476"/>
      <c r="E59" s="476"/>
      <c r="F59" s="476"/>
      <c r="G59" s="476"/>
    </row>
    <row r="60" spans="1:9">
      <c r="A60" s="476"/>
      <c r="B60" s="476"/>
      <c r="C60" s="476"/>
      <c r="D60" s="476"/>
      <c r="E60" s="476"/>
      <c r="F60" s="476"/>
      <c r="G60" s="476"/>
    </row>
    <row r="61" spans="1:9">
      <c r="A61" s="476"/>
      <c r="B61" s="476"/>
      <c r="C61" s="476"/>
      <c r="D61" s="476"/>
      <c r="E61" s="476"/>
      <c r="F61" s="476"/>
      <c r="G61" s="476"/>
    </row>
    <row r="62" spans="1:9">
      <c r="A62" s="476"/>
      <c r="B62" s="476"/>
      <c r="C62" s="476"/>
      <c r="D62" s="476"/>
      <c r="E62" s="476"/>
      <c r="F62" s="476"/>
      <c r="G62" s="476"/>
    </row>
    <row r="63" spans="1:9">
      <c r="A63" s="476"/>
      <c r="B63" s="476"/>
      <c r="C63" s="476"/>
      <c r="D63" s="476"/>
      <c r="E63" s="476"/>
      <c r="F63" s="476"/>
      <c r="G63" s="476"/>
    </row>
    <row r="64" spans="1:9">
      <c r="A64" s="476"/>
      <c r="B64" s="476"/>
      <c r="C64" s="476"/>
      <c r="D64" s="476"/>
      <c r="E64" s="476"/>
      <c r="F64" s="476"/>
      <c r="G64" s="476"/>
    </row>
    <row r="65" spans="1:7">
      <c r="A65" s="476"/>
      <c r="B65" s="476"/>
      <c r="C65" s="476"/>
      <c r="D65" s="476"/>
      <c r="E65" s="476"/>
      <c r="F65" s="476"/>
      <c r="G65" s="476"/>
    </row>
    <row r="66" spans="1:7">
      <c r="A66" s="476"/>
      <c r="B66" s="476"/>
      <c r="C66" s="476"/>
      <c r="D66" s="476"/>
      <c r="E66" s="476"/>
      <c r="F66" s="476"/>
      <c r="G66" s="476"/>
    </row>
    <row r="67" spans="1:7">
      <c r="A67" s="476"/>
      <c r="B67" s="476"/>
      <c r="C67" s="476"/>
      <c r="D67" s="476"/>
      <c r="E67" s="476"/>
      <c r="F67" s="476"/>
      <c r="G67" s="476"/>
    </row>
    <row r="68" spans="1:7">
      <c r="A68" s="476"/>
      <c r="B68" s="476"/>
      <c r="C68" s="476"/>
      <c r="D68" s="476"/>
      <c r="E68" s="476"/>
      <c r="F68" s="476"/>
      <c r="G68" s="476"/>
    </row>
    <row r="69" spans="1:7">
      <c r="A69" s="476"/>
      <c r="B69" s="476"/>
      <c r="C69" s="476"/>
      <c r="D69" s="476"/>
      <c r="E69" s="476"/>
      <c r="F69" s="476"/>
      <c r="G69" s="476"/>
    </row>
    <row r="70" spans="1:7">
      <c r="A70" s="476"/>
      <c r="B70" s="476"/>
      <c r="C70" s="476"/>
      <c r="D70" s="476"/>
      <c r="E70" s="476"/>
      <c r="F70" s="476"/>
      <c r="G70" s="476"/>
    </row>
    <row r="71" spans="1:7">
      <c r="A71" s="476"/>
      <c r="B71" s="476"/>
      <c r="C71" s="476"/>
      <c r="D71" s="476"/>
      <c r="E71" s="476"/>
      <c r="F71" s="476"/>
      <c r="G71" s="476"/>
    </row>
    <row r="72" spans="1:7">
      <c r="A72" s="476"/>
      <c r="B72" s="476"/>
      <c r="C72" s="476"/>
      <c r="D72" s="476"/>
      <c r="E72" s="476"/>
      <c r="F72" s="476"/>
      <c r="G72" s="476"/>
    </row>
    <row r="73" spans="1:7">
      <c r="A73" s="476"/>
      <c r="B73" s="476"/>
      <c r="C73" s="476"/>
      <c r="D73" s="476"/>
      <c r="E73" s="476"/>
      <c r="F73" s="476"/>
      <c r="G73" s="476"/>
    </row>
    <row r="74" spans="1:7">
      <c r="A74" s="476"/>
      <c r="B74" s="476"/>
      <c r="C74" s="476"/>
      <c r="D74" s="476"/>
      <c r="E74" s="476"/>
      <c r="F74" s="476"/>
      <c r="G74" s="476"/>
    </row>
    <row r="75" spans="1:7">
      <c r="A75" s="476"/>
      <c r="B75" s="476"/>
      <c r="C75" s="476"/>
      <c r="D75" s="476"/>
      <c r="E75" s="476"/>
      <c r="F75" s="476"/>
      <c r="G75" s="476"/>
    </row>
    <row r="76" spans="1:7">
      <c r="A76" s="476"/>
      <c r="B76" s="476"/>
      <c r="C76" s="476"/>
      <c r="D76" s="476"/>
      <c r="E76" s="476"/>
      <c r="F76" s="476"/>
      <c r="G76" s="476"/>
    </row>
    <row r="77" spans="1:7">
      <c r="A77" s="476"/>
      <c r="B77" s="476"/>
      <c r="C77" s="476"/>
      <c r="D77" s="476"/>
      <c r="E77" s="476"/>
      <c r="F77" s="476"/>
      <c r="G77" s="476"/>
    </row>
    <row r="78" spans="1:7">
      <c r="A78" s="476"/>
      <c r="B78" s="476"/>
      <c r="C78" s="476"/>
      <c r="D78" s="476"/>
      <c r="E78" s="476"/>
      <c r="F78" s="476"/>
      <c r="G78" s="476"/>
    </row>
    <row r="79" spans="1:7">
      <c r="A79" s="476"/>
      <c r="B79" s="476"/>
      <c r="C79" s="476"/>
      <c r="D79" s="476"/>
      <c r="E79" s="476"/>
      <c r="F79" s="476"/>
      <c r="G79" s="476"/>
    </row>
    <row r="80" spans="1:7">
      <c r="A80" s="476"/>
      <c r="B80" s="476"/>
      <c r="C80" s="476"/>
      <c r="D80" s="476"/>
      <c r="E80" s="476"/>
      <c r="F80" s="476"/>
      <c r="G80" s="476"/>
    </row>
    <row r="81" spans="1:7">
      <c r="A81" s="476"/>
      <c r="B81" s="476"/>
      <c r="C81" s="476"/>
      <c r="D81" s="476"/>
      <c r="E81" s="476"/>
      <c r="F81" s="476"/>
      <c r="G81" s="476"/>
    </row>
    <row r="82" spans="1:7">
      <c r="A82" s="476"/>
      <c r="B82" s="476"/>
      <c r="C82" s="476"/>
      <c r="D82" s="476"/>
      <c r="E82" s="476"/>
      <c r="F82" s="476"/>
      <c r="G82" s="476"/>
    </row>
    <row r="83" spans="1:7">
      <c r="A83" s="476"/>
      <c r="B83" s="476"/>
      <c r="C83" s="476"/>
      <c r="D83" s="476"/>
      <c r="E83" s="476"/>
      <c r="F83" s="476"/>
      <c r="G83" s="476"/>
    </row>
    <row r="84" spans="1:7">
      <c r="A84" s="476"/>
      <c r="B84" s="476"/>
      <c r="C84" s="476"/>
      <c r="D84" s="476"/>
      <c r="E84" s="476"/>
      <c r="F84" s="476"/>
      <c r="G84" s="476"/>
    </row>
    <row r="85" spans="1:7">
      <c r="A85" s="476"/>
      <c r="B85" s="476"/>
      <c r="C85" s="476"/>
      <c r="D85" s="476"/>
      <c r="E85" s="476"/>
      <c r="F85" s="476"/>
      <c r="G85" s="476"/>
    </row>
    <row r="86" spans="1:7">
      <c r="A86" s="476"/>
      <c r="B86" s="476"/>
      <c r="C86" s="476"/>
      <c r="D86" s="476"/>
      <c r="E86" s="476"/>
      <c r="F86" s="476"/>
      <c r="G86" s="476"/>
    </row>
    <row r="87" spans="1:7">
      <c r="A87" s="476"/>
      <c r="B87" s="476"/>
      <c r="C87" s="476"/>
      <c r="D87" s="476"/>
      <c r="E87" s="476"/>
      <c r="F87" s="476"/>
      <c r="G87" s="476"/>
    </row>
    <row r="88" spans="1:7">
      <c r="A88" s="476"/>
      <c r="B88" s="476"/>
      <c r="C88" s="476"/>
      <c r="D88" s="476"/>
      <c r="E88" s="476"/>
      <c r="F88" s="476"/>
      <c r="G88" s="476"/>
    </row>
    <row r="89" spans="1:7">
      <c r="A89" s="476"/>
      <c r="B89" s="476"/>
      <c r="C89" s="476"/>
      <c r="D89" s="476"/>
      <c r="E89" s="476"/>
      <c r="F89" s="476"/>
      <c r="G89" s="476"/>
    </row>
    <row r="90" spans="1:7">
      <c r="A90" s="476"/>
      <c r="B90" s="476"/>
      <c r="C90" s="476"/>
      <c r="D90" s="476"/>
      <c r="E90" s="476"/>
      <c r="F90" s="476"/>
      <c r="G90" s="476"/>
    </row>
    <row r="91" spans="1:7">
      <c r="A91" s="476"/>
      <c r="B91" s="476"/>
      <c r="C91" s="476"/>
      <c r="D91" s="476"/>
      <c r="E91" s="476"/>
      <c r="F91" s="476"/>
      <c r="G91" s="476"/>
    </row>
    <row r="92" spans="1:7">
      <c r="A92" s="476"/>
      <c r="B92" s="476"/>
      <c r="C92" s="476"/>
      <c r="D92" s="476"/>
      <c r="E92" s="476"/>
      <c r="F92" s="476"/>
      <c r="G92" s="476"/>
    </row>
    <row r="93" spans="1:7">
      <c r="A93" s="476"/>
      <c r="B93" s="476"/>
      <c r="C93" s="476"/>
      <c r="D93" s="476"/>
      <c r="E93" s="476"/>
      <c r="F93" s="476"/>
      <c r="G93" s="476"/>
    </row>
    <row r="94" spans="1:7">
      <c r="A94" s="476"/>
      <c r="B94" s="476"/>
      <c r="C94" s="476"/>
      <c r="D94" s="476"/>
      <c r="E94" s="476"/>
      <c r="F94" s="476"/>
      <c r="G94" s="476"/>
    </row>
    <row r="95" spans="1:7">
      <c r="A95" s="476"/>
      <c r="B95" s="476"/>
      <c r="C95" s="476"/>
      <c r="D95" s="476"/>
      <c r="E95" s="476"/>
      <c r="F95" s="476"/>
      <c r="G95" s="476"/>
    </row>
    <row r="96" spans="1:7">
      <c r="A96" s="476"/>
      <c r="B96" s="476"/>
      <c r="C96" s="476"/>
      <c r="D96" s="476"/>
      <c r="E96" s="476"/>
      <c r="F96" s="476"/>
      <c r="G96" s="476"/>
    </row>
    <row r="97" spans="1:7">
      <c r="A97" s="476"/>
      <c r="B97" s="476"/>
      <c r="C97" s="476"/>
      <c r="D97" s="476"/>
      <c r="E97" s="476"/>
      <c r="F97" s="476"/>
      <c r="G97" s="476"/>
    </row>
    <row r="98" spans="1:7">
      <c r="A98" s="476"/>
      <c r="B98" s="476"/>
      <c r="C98" s="476"/>
      <c r="D98" s="476"/>
      <c r="E98" s="476"/>
      <c r="F98" s="476"/>
      <c r="G98" s="476"/>
    </row>
    <row r="99" spans="1:7">
      <c r="A99" s="476"/>
      <c r="B99" s="476"/>
      <c r="C99" s="476"/>
      <c r="D99" s="476"/>
      <c r="E99" s="476"/>
      <c r="F99" s="476"/>
      <c r="G99" s="476"/>
    </row>
    <row r="100" spans="1:7">
      <c r="A100" s="476"/>
      <c r="B100" s="476"/>
      <c r="C100" s="476"/>
      <c r="D100" s="476"/>
      <c r="E100" s="476"/>
      <c r="F100" s="476"/>
      <c r="G100" s="476"/>
    </row>
    <row r="101" spans="1:7">
      <c r="A101" s="476"/>
      <c r="B101" s="476"/>
      <c r="C101" s="476"/>
      <c r="D101" s="476"/>
      <c r="E101" s="476"/>
      <c r="F101" s="476"/>
      <c r="G101" s="476"/>
    </row>
    <row r="102" spans="1:7">
      <c r="A102" s="476"/>
      <c r="B102" s="476"/>
      <c r="C102" s="476"/>
      <c r="D102" s="476"/>
      <c r="E102" s="476"/>
      <c r="F102" s="476"/>
      <c r="G102" s="476"/>
    </row>
    <row r="103" spans="1:7">
      <c r="A103" s="476"/>
      <c r="B103" s="476"/>
      <c r="C103" s="476"/>
      <c r="D103" s="476"/>
      <c r="E103" s="476"/>
      <c r="F103" s="476"/>
      <c r="G103" s="476"/>
    </row>
    <row r="104" spans="1:7">
      <c r="A104" s="476"/>
      <c r="B104" s="476"/>
      <c r="C104" s="476"/>
      <c r="D104" s="476"/>
      <c r="E104" s="476"/>
      <c r="F104" s="476"/>
      <c r="G104" s="476"/>
    </row>
    <row r="105" spans="1:7">
      <c r="A105" s="476"/>
      <c r="B105" s="476"/>
      <c r="C105" s="476"/>
      <c r="D105" s="476"/>
      <c r="E105" s="476"/>
      <c r="F105" s="476"/>
      <c r="G105" s="476"/>
    </row>
    <row r="106" spans="1:7">
      <c r="A106" s="476"/>
      <c r="B106" s="476"/>
      <c r="C106" s="476"/>
      <c r="D106" s="476"/>
      <c r="E106" s="476"/>
      <c r="F106" s="476"/>
      <c r="G106" s="476"/>
    </row>
    <row r="107" spans="1:7">
      <c r="A107" s="476"/>
      <c r="B107" s="476"/>
      <c r="C107" s="476"/>
      <c r="D107" s="476"/>
      <c r="E107" s="476"/>
      <c r="F107" s="476"/>
      <c r="G107" s="476"/>
    </row>
    <row r="108" spans="1:7">
      <c r="A108" s="476"/>
      <c r="B108" s="476"/>
      <c r="C108" s="476"/>
      <c r="D108" s="476"/>
      <c r="E108" s="476"/>
      <c r="F108" s="476"/>
      <c r="G108" s="476"/>
    </row>
    <row r="109" spans="1:7">
      <c r="A109" s="476"/>
      <c r="B109" s="476"/>
      <c r="C109" s="476"/>
      <c r="D109" s="476"/>
      <c r="E109" s="476"/>
      <c r="F109" s="476"/>
      <c r="G109" s="476"/>
    </row>
    <row r="110" spans="1:7">
      <c r="A110" s="476"/>
      <c r="B110" s="476"/>
      <c r="C110" s="476"/>
      <c r="D110" s="476"/>
      <c r="E110" s="476"/>
      <c r="F110" s="476"/>
      <c r="G110" s="476"/>
    </row>
    <row r="111" spans="1:7">
      <c r="A111" s="476"/>
      <c r="B111" s="476"/>
      <c r="C111" s="476"/>
      <c r="D111" s="476"/>
      <c r="E111" s="476"/>
      <c r="F111" s="476"/>
      <c r="G111" s="476"/>
    </row>
    <row r="112" spans="1:7">
      <c r="A112" s="476"/>
      <c r="B112" s="476"/>
      <c r="C112" s="476"/>
      <c r="D112" s="476"/>
      <c r="E112" s="476"/>
      <c r="F112" s="476"/>
      <c r="G112" s="476"/>
    </row>
    <row r="113" spans="1:7">
      <c r="A113" s="476"/>
      <c r="B113" s="476"/>
      <c r="C113" s="476"/>
      <c r="D113" s="476"/>
      <c r="E113" s="476"/>
      <c r="F113" s="476"/>
      <c r="G113" s="476"/>
    </row>
    <row r="114" spans="1:7">
      <c r="A114" s="476"/>
      <c r="B114" s="476"/>
      <c r="C114" s="476"/>
      <c r="D114" s="476"/>
      <c r="E114" s="476"/>
      <c r="F114" s="476"/>
      <c r="G114" s="476"/>
    </row>
    <row r="115" spans="1:7">
      <c r="A115" s="476"/>
      <c r="B115" s="476"/>
      <c r="C115" s="476"/>
      <c r="D115" s="476"/>
      <c r="E115" s="476"/>
      <c r="F115" s="476"/>
      <c r="G115" s="476"/>
    </row>
    <row r="116" spans="1:7">
      <c r="A116" s="476"/>
      <c r="B116" s="476"/>
      <c r="C116" s="476"/>
      <c r="D116" s="476"/>
      <c r="E116" s="476"/>
      <c r="F116" s="476"/>
      <c r="G116" s="476"/>
    </row>
    <row r="117" spans="1:7">
      <c r="A117" s="476"/>
      <c r="B117" s="476"/>
      <c r="C117" s="476"/>
      <c r="D117" s="476"/>
      <c r="E117" s="476"/>
      <c r="F117" s="476"/>
      <c r="G117" s="476"/>
    </row>
    <row r="118" spans="1:7">
      <c r="A118" s="476"/>
      <c r="B118" s="476"/>
      <c r="C118" s="476"/>
      <c r="D118" s="476"/>
      <c r="E118" s="476"/>
      <c r="F118" s="476"/>
      <c r="G118" s="476"/>
    </row>
    <row r="119" spans="1:7">
      <c r="A119" s="476"/>
      <c r="B119" s="476"/>
      <c r="C119" s="476"/>
      <c r="D119" s="476"/>
      <c r="E119" s="476"/>
      <c r="F119" s="476"/>
      <c r="G119" s="476"/>
    </row>
    <row r="120" spans="1:7">
      <c r="A120" s="476"/>
      <c r="B120" s="476"/>
      <c r="C120" s="476"/>
      <c r="D120" s="476"/>
      <c r="E120" s="476"/>
      <c r="F120" s="476"/>
      <c r="G120" s="476"/>
    </row>
    <row r="121" spans="1:7">
      <c r="A121" s="476"/>
      <c r="G121" s="476"/>
    </row>
  </sheetData>
  <mergeCells count="6">
    <mergeCell ref="I21:K21"/>
    <mergeCell ref="B2:F2"/>
    <mergeCell ref="I2:L2"/>
    <mergeCell ref="B3:E3"/>
    <mergeCell ref="B10:E10"/>
    <mergeCell ref="B18:E18"/>
  </mergeCells>
  <pageMargins left="0.25" right="0.25" top="0.5" bottom="0.5" header="0.3" footer="0.3"/>
  <pageSetup orientation="landscape" cellComments="asDisplayed" r:id="rId1"/>
  <headerFooter alignWithMargins="0"/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1"/>
  <sheetViews>
    <sheetView topLeftCell="A7" zoomScale="70" zoomScaleNormal="70" zoomScaleSheetLayoutView="50" workbookViewId="0">
      <selection activeCell="G37" sqref="G37"/>
    </sheetView>
  </sheetViews>
  <sheetFormatPr defaultColWidth="9.140625" defaultRowHeight="12.75"/>
  <cols>
    <col min="1" max="1" width="11.85546875" style="222" customWidth="1"/>
    <col min="2" max="2" width="36.5703125" style="222" customWidth="1"/>
    <col min="3" max="3" width="11" style="222" bestFit="1" customWidth="1"/>
    <col min="4" max="4" width="11" style="222" customWidth="1"/>
    <col min="5" max="5" width="11.7109375" style="222" customWidth="1"/>
    <col min="6" max="6" width="52.28515625" style="222" customWidth="1"/>
    <col min="7" max="7" width="11.7109375" style="222" customWidth="1"/>
    <col min="8" max="8" width="33.140625" style="222" bestFit="1" customWidth="1"/>
    <col min="9" max="9" width="14.42578125" style="222" customWidth="1"/>
    <col min="10" max="11" width="13.5703125" style="222" customWidth="1"/>
    <col min="12" max="12" width="6.5703125" style="222" customWidth="1"/>
    <col min="13" max="13" width="28.5703125" style="222" bestFit="1" customWidth="1"/>
    <col min="14" max="14" width="13.140625" style="222" bestFit="1" customWidth="1"/>
    <col min="15" max="16" width="13.5703125" style="222" customWidth="1"/>
    <col min="17" max="17" width="12.85546875" style="222" bestFit="1" customWidth="1"/>
    <col min="18" max="18" width="10.28515625" style="222" bestFit="1" customWidth="1"/>
    <col min="19" max="19" width="9.7109375" style="222" bestFit="1" customWidth="1"/>
    <col min="20" max="16384" width="9.140625" style="222"/>
  </cols>
  <sheetData>
    <row r="1" spans="1:20" ht="18.75" thickBot="1">
      <c r="A1" s="576"/>
      <c r="B1" s="220"/>
      <c r="C1" s="220"/>
      <c r="D1" s="220"/>
      <c r="E1" s="220"/>
      <c r="F1" s="220"/>
      <c r="G1" s="220"/>
      <c r="H1" s="224"/>
      <c r="I1" s="224"/>
      <c r="J1" s="224"/>
      <c r="K1" s="224"/>
      <c r="L1" s="224"/>
      <c r="M1" s="224"/>
      <c r="N1" s="224"/>
      <c r="O1" s="224"/>
      <c r="P1" s="224"/>
      <c r="Q1" s="220"/>
      <c r="R1" s="220"/>
      <c r="S1" s="220"/>
      <c r="T1" s="220"/>
    </row>
    <row r="2" spans="1:20" ht="19.5" thickBot="1">
      <c r="A2" s="576"/>
      <c r="B2" s="1324" t="s">
        <v>170</v>
      </c>
      <c r="C2" s="1325"/>
      <c r="D2" s="1325"/>
      <c r="E2" s="1325"/>
      <c r="F2" s="1326"/>
      <c r="G2" s="577"/>
      <c r="H2" s="1281" t="s">
        <v>258</v>
      </c>
      <c r="I2" s="1282"/>
      <c r="J2" s="1282"/>
      <c r="K2" s="1283"/>
      <c r="L2" s="578"/>
      <c r="M2" s="1281" t="s">
        <v>259</v>
      </c>
      <c r="N2" s="1282"/>
      <c r="O2" s="1282"/>
      <c r="P2" s="1283"/>
      <c r="Q2" s="220"/>
      <c r="R2" s="220"/>
      <c r="S2" s="220"/>
      <c r="T2" s="220"/>
    </row>
    <row r="3" spans="1:20" ht="32.25" customHeight="1">
      <c r="A3" s="576"/>
      <c r="B3" s="1327" t="s">
        <v>171</v>
      </c>
      <c r="C3" s="1328"/>
      <c r="D3" s="1328"/>
      <c r="E3" s="1329"/>
      <c r="F3" s="579" t="s">
        <v>173</v>
      </c>
      <c r="G3" s="580"/>
      <c r="H3" s="237" t="s">
        <v>179</v>
      </c>
      <c r="I3" s="238">
        <v>8</v>
      </c>
      <c r="J3" s="239" t="s">
        <v>180</v>
      </c>
      <c r="K3" s="240">
        <f>I3*365</f>
        <v>2920</v>
      </c>
      <c r="L3" s="25"/>
      <c r="M3" s="237" t="s">
        <v>179</v>
      </c>
      <c r="N3" s="238">
        <v>5</v>
      </c>
      <c r="O3" s="239" t="s">
        <v>180</v>
      </c>
      <c r="P3" s="240">
        <f>N3*365</f>
        <v>1825</v>
      </c>
      <c r="Q3" s="220"/>
      <c r="R3" s="220"/>
      <c r="S3" s="220"/>
      <c r="T3" s="220"/>
    </row>
    <row r="4" spans="1:20" ht="32.25">
      <c r="A4" s="576"/>
      <c r="B4" s="232" t="s">
        <v>177</v>
      </c>
      <c r="C4" s="1183">
        <f>'[11]IFC-Inte &amp; Enhanced FC Rebased'!E4</f>
        <v>43971.200000000004</v>
      </c>
      <c r="D4" s="1183"/>
      <c r="E4" s="1183"/>
      <c r="F4" s="235" t="str">
        <f>'[11]IFC- Child home rehab Rebased'!F4</f>
        <v>11/1/19: Benchmark to BLS Caseworker: Minimum education = BA or 8 years related experience</v>
      </c>
      <c r="G4" s="581"/>
      <c r="H4" s="249" t="s">
        <v>1</v>
      </c>
      <c r="I4" s="250" t="s">
        <v>183</v>
      </c>
      <c r="J4" s="250" t="s">
        <v>184</v>
      </c>
      <c r="K4" s="251" t="s">
        <v>185</v>
      </c>
      <c r="L4" s="582"/>
      <c r="M4" s="249" t="s">
        <v>1</v>
      </c>
      <c r="N4" s="250" t="s">
        <v>183</v>
      </c>
      <c r="O4" s="250" t="s">
        <v>184</v>
      </c>
      <c r="P4" s="251" t="s">
        <v>185</v>
      </c>
      <c r="Q4" s="220"/>
      <c r="R4" s="220"/>
      <c r="S4" s="220"/>
      <c r="T4" s="220"/>
    </row>
    <row r="5" spans="1:20" ht="39.6" customHeight="1">
      <c r="A5" s="576"/>
      <c r="B5" s="232" t="s">
        <v>181</v>
      </c>
      <c r="C5" s="1183">
        <f>[11]Chart!C6</f>
        <v>41516.800000000003</v>
      </c>
      <c r="D5" s="1183"/>
      <c r="E5" s="1183"/>
      <c r="F5" s="235" t="str">
        <f>'[11]IFC- Child home rehab Rebased'!F5</f>
        <v>11/1/19: Benchmark to Direct Care III: Minimum education = BA or 5+ years related experience</v>
      </c>
      <c r="G5" s="577"/>
      <c r="H5" s="804" t="s">
        <v>177</v>
      </c>
      <c r="I5" s="1126">
        <f>C4</f>
        <v>43971.200000000004</v>
      </c>
      <c r="J5" s="258">
        <f>I3*C12</f>
        <v>0.32</v>
      </c>
      <c r="K5" s="1127">
        <f>J5*I5</f>
        <v>14070.784000000001</v>
      </c>
      <c r="L5" s="602"/>
      <c r="M5" s="804" t="s">
        <v>177</v>
      </c>
      <c r="N5" s="1126">
        <f>I5</f>
        <v>43971.200000000004</v>
      </c>
      <c r="O5" s="584">
        <f>E12</f>
        <v>0.32</v>
      </c>
      <c r="P5" s="259">
        <f>O5*N5</f>
        <v>14070.784000000001</v>
      </c>
      <c r="Q5" s="220"/>
      <c r="R5" s="220"/>
      <c r="S5" s="220"/>
      <c r="T5" s="220"/>
    </row>
    <row r="6" spans="1:20" ht="35.450000000000003" customHeight="1">
      <c r="A6" s="576"/>
      <c r="B6" s="255" t="s">
        <v>186</v>
      </c>
      <c r="C6" s="1183">
        <f>'[11]IFC-Inte &amp; Enhanced FC Rebased'!E6</f>
        <v>52665.599999999999</v>
      </c>
      <c r="D6" s="1183"/>
      <c r="E6" s="1183"/>
      <c r="F6" s="235" t="str">
        <f>'[11]IFC- Child home rehab Rebased'!F6</f>
        <v>11/1/19: Benchmark to BLS Caseworker: Minimum education = BA or 8 years related experience</v>
      </c>
      <c r="G6" s="585"/>
      <c r="H6" s="804" t="s">
        <v>181</v>
      </c>
      <c r="I6" s="1126">
        <f>C5</f>
        <v>41516.800000000003</v>
      </c>
      <c r="J6" s="263">
        <f>C13*8</f>
        <v>0.16666666666666666</v>
      </c>
      <c r="K6" s="1127">
        <f>J6*I6</f>
        <v>6919.4666666666672</v>
      </c>
      <c r="L6" s="1187"/>
      <c r="M6" s="804" t="s">
        <v>181</v>
      </c>
      <c r="N6" s="1126">
        <f>I6</f>
        <v>41516.800000000003</v>
      </c>
      <c r="O6" s="584">
        <f>E13</f>
        <v>0.1666667</v>
      </c>
      <c r="P6" s="259">
        <f>O6*N6</f>
        <v>6919.4680505600008</v>
      </c>
      <c r="Q6" s="220"/>
      <c r="R6" s="220"/>
      <c r="S6" s="220"/>
      <c r="T6" s="220"/>
    </row>
    <row r="7" spans="1:20" ht="37.5">
      <c r="A7" s="576"/>
      <c r="B7" s="232" t="s">
        <v>187</v>
      </c>
      <c r="C7" s="1184">
        <f>'[11]IFC-Inte &amp; Enhanced FC Rebased'!E7</f>
        <v>32198.400000000001</v>
      </c>
      <c r="D7" s="1183"/>
      <c r="E7" s="1183"/>
      <c r="F7" s="235" t="str">
        <f>'[11]IFC- Child home rehab Rebased'!F7</f>
        <v xml:space="preserve">11/1/19: Benchmark to Direct Care : Minimum education = HS Diploma / GED / Associates </v>
      </c>
      <c r="G7" s="587"/>
      <c r="H7" s="1128" t="s">
        <v>247</v>
      </c>
      <c r="I7" s="1126">
        <f>C6</f>
        <v>52665.599999999999</v>
      </c>
      <c r="J7" s="263">
        <f>C14</f>
        <v>1.5</v>
      </c>
      <c r="K7" s="1127">
        <f>J7*I7</f>
        <v>78998.399999999994</v>
      </c>
      <c r="L7" s="604"/>
      <c r="M7" s="1128" t="s">
        <v>247</v>
      </c>
      <c r="N7" s="1126">
        <f>I7</f>
        <v>52665.599999999999</v>
      </c>
      <c r="O7" s="584">
        <f>E14</f>
        <v>1</v>
      </c>
      <c r="P7" s="259">
        <f>O7*N7</f>
        <v>52665.599999999999</v>
      </c>
      <c r="Q7" s="220"/>
      <c r="R7" s="220"/>
      <c r="S7" s="220"/>
      <c r="T7" s="220"/>
    </row>
    <row r="8" spans="1:20" ht="15.75" customHeight="1">
      <c r="A8" s="576"/>
      <c r="B8" s="232" t="s">
        <v>189</v>
      </c>
      <c r="C8" s="233">
        <f>52305*(3.93%+1)*(1.87%+1)*(2.64386%+1)</f>
        <v>56841.223242690765</v>
      </c>
      <c r="D8" s="233"/>
      <c r="E8" s="1185"/>
      <c r="F8" s="507" t="s">
        <v>190</v>
      </c>
      <c r="G8" s="587"/>
      <c r="H8" s="804" t="s">
        <v>187</v>
      </c>
      <c r="I8" s="1126">
        <f>C7</f>
        <v>32198.400000000001</v>
      </c>
      <c r="J8" s="263">
        <f>C15</f>
        <v>1</v>
      </c>
      <c r="K8" s="1127">
        <f>J8*I8</f>
        <v>32198.400000000001</v>
      </c>
      <c r="L8" s="604"/>
      <c r="M8" s="804" t="s">
        <v>187</v>
      </c>
      <c r="N8" s="1126">
        <f>I8</f>
        <v>32198.400000000001</v>
      </c>
      <c r="O8" s="584">
        <f>E15</f>
        <v>1</v>
      </c>
      <c r="P8" s="259">
        <f>O8*N8</f>
        <v>32198.400000000001</v>
      </c>
      <c r="Q8" s="220"/>
      <c r="R8" s="220"/>
      <c r="S8" s="220"/>
      <c r="T8" s="220"/>
    </row>
    <row r="9" spans="1:20" ht="36" customHeight="1" thickBot="1">
      <c r="A9" s="576"/>
      <c r="B9" s="264" t="s">
        <v>260</v>
      </c>
      <c r="C9" s="1186">
        <f>C7</f>
        <v>32198.400000000001</v>
      </c>
      <c r="D9" s="1183"/>
      <c r="E9" s="1183"/>
      <c r="F9" s="235" t="s">
        <v>188</v>
      </c>
      <c r="G9" s="589"/>
      <c r="H9" s="804" t="s">
        <v>189</v>
      </c>
      <c r="I9" s="1126">
        <f>C8</f>
        <v>56841.223242690765</v>
      </c>
      <c r="J9" s="1188">
        <f>C16</f>
        <v>0.25</v>
      </c>
      <c r="K9" s="1127">
        <f>I9*J9</f>
        <v>14210.305810672691</v>
      </c>
      <c r="L9" s="1189"/>
      <c r="M9" s="804" t="s">
        <v>189</v>
      </c>
      <c r="N9" s="1126">
        <f>I9</f>
        <v>56841.223242690765</v>
      </c>
      <c r="O9" s="584">
        <v>0.1</v>
      </c>
      <c r="P9" s="259">
        <f>N9*O9</f>
        <v>5684.1223242690767</v>
      </c>
      <c r="Q9" s="220"/>
      <c r="R9" s="220"/>
      <c r="S9" s="220"/>
      <c r="T9" s="220"/>
    </row>
    <row r="10" spans="1:20" ht="19.5" thickBot="1">
      <c r="A10" s="576"/>
      <c r="B10" s="1330" t="s">
        <v>191</v>
      </c>
      <c r="C10" s="1331"/>
      <c r="D10" s="1331"/>
      <c r="E10" s="1332"/>
      <c r="F10" s="271"/>
      <c r="G10" s="589"/>
      <c r="H10" s="1132" t="s">
        <v>196</v>
      </c>
      <c r="I10" s="1133"/>
      <c r="J10" s="1134">
        <f>SUM(J5:J9)</f>
        <v>3.2366666666666668</v>
      </c>
      <c r="K10" s="1135">
        <f>SUM(K5:K9)</f>
        <v>146397.35647733934</v>
      </c>
      <c r="L10" s="1189"/>
      <c r="M10" s="590" t="s">
        <v>260</v>
      </c>
      <c r="N10" s="1129">
        <f>C9</f>
        <v>32198.400000000001</v>
      </c>
      <c r="O10" s="1190">
        <f>E17</f>
        <v>1</v>
      </c>
      <c r="P10" s="279">
        <f>O10*N10</f>
        <v>32198.400000000001</v>
      </c>
      <c r="Q10" s="220"/>
      <c r="R10" s="220"/>
      <c r="S10" s="220"/>
      <c r="T10" s="220"/>
    </row>
    <row r="11" spans="1:20" ht="30" customHeight="1" thickBot="1">
      <c r="A11" s="576"/>
      <c r="B11" s="591" t="s">
        <v>192</v>
      </c>
      <c r="C11" s="592" t="s">
        <v>193</v>
      </c>
      <c r="D11" s="592"/>
      <c r="E11" s="593" t="s">
        <v>194</v>
      </c>
      <c r="F11" s="277"/>
      <c r="G11" s="589"/>
      <c r="H11" s="590" t="s">
        <v>199</v>
      </c>
      <c r="I11" s="1139"/>
      <c r="J11" s="1140">
        <f>E19</f>
        <v>0.22309999999999999</v>
      </c>
      <c r="K11" s="1141">
        <f>K10*J11</f>
        <v>32661.250230094407</v>
      </c>
      <c r="L11" s="1189"/>
      <c r="M11" s="1132" t="s">
        <v>196</v>
      </c>
      <c r="N11" s="1133"/>
      <c r="O11" s="1134">
        <f>SUM(O5:O10)</f>
        <v>3.5866666999999999</v>
      </c>
      <c r="P11" s="289">
        <f>SUM(P5:P10)</f>
        <v>143736.77437482908</v>
      </c>
      <c r="Q11" s="220"/>
      <c r="R11" s="220"/>
      <c r="S11" s="220"/>
      <c r="T11" s="220"/>
    </row>
    <row r="12" spans="1:20" ht="19.5" thickBot="1">
      <c r="A12" s="576"/>
      <c r="B12" s="232" t="s">
        <v>177</v>
      </c>
      <c r="C12" s="281">
        <f>1/25</f>
        <v>0.04</v>
      </c>
      <c r="D12" s="281"/>
      <c r="E12" s="282">
        <f>8/25</f>
        <v>0.32</v>
      </c>
      <c r="F12" s="284" t="s">
        <v>195</v>
      </c>
      <c r="G12" s="594"/>
      <c r="H12" s="1142" t="s">
        <v>200</v>
      </c>
      <c r="I12" s="1143"/>
      <c r="J12" s="1143"/>
      <c r="K12" s="1144">
        <f>K10+K11</f>
        <v>179058.60670743376</v>
      </c>
      <c r="L12" s="1191"/>
      <c r="M12" s="590" t="s">
        <v>199</v>
      </c>
      <c r="N12" s="1139"/>
      <c r="O12" s="1140">
        <f>E19</f>
        <v>0.22309999999999999</v>
      </c>
      <c r="P12" s="301">
        <f>P11*O12</f>
        <v>32067.674363024365</v>
      </c>
      <c r="Q12" s="220"/>
      <c r="R12" s="220"/>
      <c r="S12" s="220"/>
      <c r="T12" s="220"/>
    </row>
    <row r="13" spans="1:20" ht="33.75" thickTop="1" thickBot="1">
      <c r="A13" s="576">
        <v>1</v>
      </c>
      <c r="B13" s="232" t="s">
        <v>181</v>
      </c>
      <c r="C13" s="522">
        <f>1/6/8</f>
        <v>2.0833333333333332E-2</v>
      </c>
      <c r="D13" s="522"/>
      <c r="E13" s="282">
        <v>0.1666667</v>
      </c>
      <c r="F13" s="284" t="s">
        <v>261</v>
      </c>
      <c r="G13" s="596"/>
      <c r="H13" s="314" t="str">
        <f>B27</f>
        <v>PFLMA Trust Contribution</v>
      </c>
      <c r="I13" s="609"/>
      <c r="J13" s="609">
        <f>E27</f>
        <v>3.7000000000000002E-3</v>
      </c>
      <c r="K13" s="1138">
        <f>J13*K10</f>
        <v>541.67021896615563</v>
      </c>
      <c r="L13" s="606"/>
      <c r="M13" s="1142" t="s">
        <v>200</v>
      </c>
      <c r="N13" s="1143"/>
      <c r="O13" s="1143"/>
      <c r="P13" s="306">
        <f>P11+P12</f>
        <v>175804.44873785344</v>
      </c>
      <c r="Q13" s="599"/>
      <c r="R13" s="220"/>
      <c r="S13" s="220"/>
      <c r="T13" s="220"/>
    </row>
    <row r="14" spans="1:20" ht="19.5" thickTop="1">
      <c r="A14" s="576"/>
      <c r="B14" s="232" t="s">
        <v>262</v>
      </c>
      <c r="C14" s="281">
        <v>1.5</v>
      </c>
      <c r="D14" s="281"/>
      <c r="E14" s="282">
        <v>1</v>
      </c>
      <c r="F14" s="284" t="s">
        <v>195</v>
      </c>
      <c r="G14" s="577"/>
      <c r="H14" s="314" t="s">
        <v>202</v>
      </c>
      <c r="I14" s="608"/>
      <c r="J14" s="805">
        <f>E20</f>
        <v>10.86726378791526</v>
      </c>
      <c r="K14" s="806">
        <f>J14*K3</f>
        <v>31732.410260712557</v>
      </c>
      <c r="L14" s="602"/>
      <c r="M14" s="314" t="str">
        <f>H13</f>
        <v>PFLMA Trust Contribution</v>
      </c>
      <c r="N14" s="609"/>
      <c r="O14" s="609">
        <f>J13</f>
        <v>3.7000000000000002E-3</v>
      </c>
      <c r="P14" s="296">
        <f>O14*P11</f>
        <v>531.8260651868676</v>
      </c>
      <c r="Q14" s="599"/>
      <c r="R14" s="220"/>
      <c r="S14" s="220"/>
      <c r="T14" s="220"/>
    </row>
    <row r="15" spans="1:20" ht="18.75">
      <c r="A15" s="576"/>
      <c r="B15" s="232" t="s">
        <v>187</v>
      </c>
      <c r="C15" s="281">
        <v>1</v>
      </c>
      <c r="D15" s="281"/>
      <c r="E15" s="282">
        <v>1</v>
      </c>
      <c r="F15" s="284" t="s">
        <v>195</v>
      </c>
      <c r="G15" s="594"/>
      <c r="H15" s="314" t="s">
        <v>204</v>
      </c>
      <c r="I15" s="608"/>
      <c r="J15" s="805">
        <f>E25</f>
        <v>2.91</v>
      </c>
      <c r="K15" s="806">
        <f>J15*K3</f>
        <v>8497.2000000000007</v>
      </c>
      <c r="L15" s="1191"/>
      <c r="M15" s="314" t="s">
        <v>202</v>
      </c>
      <c r="N15" s="608"/>
      <c r="O15" s="805">
        <f>J14</f>
        <v>10.86726378791526</v>
      </c>
      <c r="P15" s="316">
        <f>O15*P3</f>
        <v>19832.756412945349</v>
      </c>
      <c r="Q15" s="600"/>
      <c r="R15" s="220"/>
      <c r="S15" s="220"/>
      <c r="T15" s="220"/>
    </row>
    <row r="16" spans="1:20" ht="16.5" customHeight="1" thickBot="1">
      <c r="A16" s="576"/>
      <c r="B16" s="232" t="s">
        <v>189</v>
      </c>
      <c r="C16" s="281">
        <v>0.25</v>
      </c>
      <c r="D16" s="281"/>
      <c r="E16" s="282">
        <v>1</v>
      </c>
      <c r="F16" s="284" t="s">
        <v>195</v>
      </c>
      <c r="G16" s="601"/>
      <c r="H16" s="1145" t="s">
        <v>207</v>
      </c>
      <c r="I16" s="1146"/>
      <c r="J16" s="1146"/>
      <c r="K16" s="1147">
        <f>SUM(K12:K15)</f>
        <v>219829.88718711247</v>
      </c>
      <c r="L16" s="602"/>
      <c r="M16" s="314" t="s">
        <v>204</v>
      </c>
      <c r="N16" s="608"/>
      <c r="O16" s="805">
        <f>J15</f>
        <v>2.91</v>
      </c>
      <c r="P16" s="316">
        <f>O16*P3</f>
        <v>5310.75</v>
      </c>
      <c r="Q16" s="220"/>
      <c r="R16" s="220"/>
      <c r="S16" s="220"/>
      <c r="T16" s="220"/>
    </row>
    <row r="17" spans="1:20" ht="17.25" customHeight="1" thickTop="1" thickBot="1">
      <c r="A17" s="576"/>
      <c r="B17" s="264" t="s">
        <v>260</v>
      </c>
      <c r="C17" s="308">
        <v>0</v>
      </c>
      <c r="D17" s="308"/>
      <c r="E17" s="309">
        <v>1</v>
      </c>
      <c r="F17" s="311" t="s">
        <v>195</v>
      </c>
      <c r="G17" s="603"/>
      <c r="H17" s="314" t="str">
        <f>F26</f>
        <v>Prospective period FY21 &amp; FY22</v>
      </c>
      <c r="I17" s="1148"/>
      <c r="J17" s="609">
        <f>E26</f>
        <v>1.78E-2</v>
      </c>
      <c r="K17" s="1149">
        <f>(K16*(J17+1)-(K10*J17+1))</f>
        <v>221135.98623374646</v>
      </c>
      <c r="L17" s="604"/>
      <c r="M17" s="1145" t="s">
        <v>207</v>
      </c>
      <c r="N17" s="1146"/>
      <c r="O17" s="1146"/>
      <c r="P17" s="327">
        <f>SUM(P13:P16)</f>
        <v>201479.78121598565</v>
      </c>
      <c r="Q17" s="599"/>
      <c r="R17" s="599"/>
      <c r="S17" s="599"/>
      <c r="T17" s="220"/>
    </row>
    <row r="18" spans="1:20" ht="20.25" thickTop="1" thickBot="1">
      <c r="A18" s="576"/>
      <c r="B18" s="1330" t="s">
        <v>201</v>
      </c>
      <c r="C18" s="1331"/>
      <c r="D18" s="1331"/>
      <c r="E18" s="1332"/>
      <c r="F18" s="277"/>
      <c r="G18" s="605"/>
      <c r="H18" s="339" t="s">
        <v>210</v>
      </c>
      <c r="I18" s="340"/>
      <c r="J18" s="340"/>
      <c r="K18" s="341">
        <f>K17/K3</f>
        <v>75.731502134844675</v>
      </c>
      <c r="L18" s="606"/>
      <c r="M18" s="314" t="str">
        <f>H17</f>
        <v>Prospective period FY21 &amp; FY22</v>
      </c>
      <c r="N18" s="332"/>
      <c r="O18" s="609">
        <f>J17</f>
        <v>1.78E-2</v>
      </c>
      <c r="P18" s="318">
        <f>(P17*(O18+1)-(P11*O18+1))</f>
        <v>202506.60673775824</v>
      </c>
      <c r="Q18" s="607"/>
      <c r="R18" s="220"/>
      <c r="S18" s="220"/>
      <c r="T18" s="220"/>
    </row>
    <row r="19" spans="1:20" ht="19.5" thickBot="1">
      <c r="A19" s="576"/>
      <c r="B19" s="232" t="s">
        <v>48</v>
      </c>
      <c r="C19" s="320"/>
      <c r="D19" s="320"/>
      <c r="E19" s="616">
        <f>[11]Chart!C30</f>
        <v>0.22309999999999999</v>
      </c>
      <c r="F19" s="322"/>
      <c r="G19" s="605"/>
      <c r="H19" s="608"/>
      <c r="I19" s="609"/>
      <c r="J19" s="609"/>
      <c r="K19" s="610"/>
      <c r="L19" s="606"/>
      <c r="M19" s="339" t="s">
        <v>210</v>
      </c>
      <c r="N19" s="340"/>
      <c r="O19" s="340"/>
      <c r="P19" s="341">
        <f>(P18/P3)+14</f>
        <v>124.96252423986753</v>
      </c>
      <c r="Q19" s="611"/>
      <c r="R19" s="220"/>
      <c r="S19" s="220"/>
      <c r="T19" s="220"/>
    </row>
    <row r="20" spans="1:20" ht="18.75">
      <c r="A20" s="576"/>
      <c r="B20" s="232" t="s">
        <v>205</v>
      </c>
      <c r="C20" s="324"/>
      <c r="D20" s="324"/>
      <c r="E20" s="809">
        <f>10*(3.93%+1)*(2.64386%+1)*(1.87%+1)</f>
        <v>10.86726378791526</v>
      </c>
      <c r="F20" s="531"/>
      <c r="G20" s="612"/>
      <c r="H20" s="608"/>
      <c r="I20" s="609"/>
      <c r="J20" s="609"/>
      <c r="K20" s="613"/>
      <c r="L20" s="614"/>
      <c r="M20" s="608"/>
      <c r="N20" s="609"/>
      <c r="O20" s="609"/>
      <c r="P20" s="610"/>
      <c r="Q20" s="220"/>
      <c r="R20" s="220"/>
      <c r="S20" s="220"/>
      <c r="T20" s="220"/>
    </row>
    <row r="21" spans="1:20" ht="18.75">
      <c r="A21" s="576"/>
      <c r="B21" s="615" t="s">
        <v>209</v>
      </c>
      <c r="C21" s="367"/>
      <c r="D21" s="367"/>
      <c r="E21" s="616">
        <v>3.9300000000000002E-2</v>
      </c>
      <c r="F21" s="534"/>
      <c r="G21" s="605"/>
      <c r="H21" s="614"/>
      <c r="I21" s="614"/>
      <c r="J21" s="614"/>
      <c r="K21" s="614"/>
      <c r="L21" s="606"/>
      <c r="M21" s="608"/>
      <c r="N21" s="609"/>
      <c r="O21" s="609"/>
      <c r="P21" s="613"/>
      <c r="Q21" s="409"/>
      <c r="R21" s="220"/>
      <c r="S21" s="220"/>
      <c r="T21" s="220"/>
    </row>
    <row r="22" spans="1:20" ht="29.25" customHeight="1">
      <c r="A22" s="576"/>
      <c r="B22" s="615" t="s">
        <v>211</v>
      </c>
      <c r="C22" s="367"/>
      <c r="D22" s="367"/>
      <c r="E22" s="616">
        <v>4.5999999999999999E-2</v>
      </c>
      <c r="F22" s="534"/>
      <c r="G22" s="601"/>
      <c r="H22" s="1320" t="s">
        <v>263</v>
      </c>
      <c r="I22" s="1321"/>
      <c r="J22" s="1322"/>
      <c r="K22" s="617"/>
      <c r="L22" s="602"/>
      <c r="M22" s="608"/>
      <c r="N22" s="609"/>
      <c r="O22" s="609"/>
      <c r="P22" s="333"/>
      <c r="Q22" s="409"/>
      <c r="R22" s="220"/>
      <c r="S22" s="220"/>
      <c r="T22" s="220"/>
    </row>
    <row r="23" spans="1:20" ht="54.75">
      <c r="A23" s="576"/>
      <c r="B23" s="615" t="s">
        <v>212</v>
      </c>
      <c r="C23" s="367"/>
      <c r="D23" s="367"/>
      <c r="E23" s="616">
        <v>2.6438643292682744E-2</v>
      </c>
      <c r="F23" s="540"/>
      <c r="G23" s="618"/>
      <c r="H23" s="619"/>
      <c r="I23" s="620" t="s">
        <v>217</v>
      </c>
      <c r="J23" s="621" t="s">
        <v>218</v>
      </c>
      <c r="K23" s="622"/>
      <c r="L23" s="623"/>
      <c r="M23" s="624"/>
      <c r="N23" s="625" t="s">
        <v>217</v>
      </c>
      <c r="O23" s="626" t="s">
        <v>218</v>
      </c>
      <c r="P23" s="627"/>
      <c r="Q23" s="220"/>
      <c r="R23" s="220"/>
      <c r="S23" s="220"/>
      <c r="T23" s="220"/>
    </row>
    <row r="24" spans="1:20" ht="26.25" customHeight="1">
      <c r="A24" s="576"/>
      <c r="B24" s="615" t="s">
        <v>213</v>
      </c>
      <c r="C24" s="367"/>
      <c r="D24" s="367"/>
      <c r="E24" s="616">
        <v>1.8700000000000001E-2</v>
      </c>
      <c r="F24" s="534"/>
      <c r="G24" s="628"/>
      <c r="H24" s="629" t="s">
        <v>254</v>
      </c>
      <c r="I24" s="386">
        <v>25.16</v>
      </c>
      <c r="J24" s="387">
        <f>E33</f>
        <v>27.02</v>
      </c>
      <c r="K24" s="630"/>
      <c r="L24" s="631"/>
      <c r="M24" s="632" t="s">
        <v>254</v>
      </c>
      <c r="N24" s="386">
        <v>25.16</v>
      </c>
      <c r="O24" s="387">
        <f>E33</f>
        <v>27.02</v>
      </c>
      <c r="P24" s="633"/>
      <c r="Q24" s="220"/>
      <c r="R24" s="220"/>
      <c r="S24" s="220"/>
      <c r="T24" s="220"/>
    </row>
    <row r="25" spans="1:20" ht="32.25">
      <c r="A25" s="576"/>
      <c r="B25" s="366" t="s">
        <v>215</v>
      </c>
      <c r="C25" s="367"/>
      <c r="D25" s="367"/>
      <c r="E25" s="546">
        <v>2.91</v>
      </c>
      <c r="F25" s="534" t="s">
        <v>216</v>
      </c>
      <c r="G25" s="634"/>
      <c r="H25" s="629" t="s">
        <v>226</v>
      </c>
      <c r="I25" s="386">
        <v>53.41</v>
      </c>
      <c r="J25" s="396">
        <f>I25*(E26+1)</f>
        <v>54.360697999999999</v>
      </c>
      <c r="K25" s="630"/>
      <c r="L25" s="583"/>
      <c r="M25" s="632" t="s">
        <v>226</v>
      </c>
      <c r="N25" s="386">
        <v>87.5</v>
      </c>
      <c r="O25" s="396">
        <f>N25*(E26+1)</f>
        <v>89.057500000000005</v>
      </c>
      <c r="P25" s="630"/>
      <c r="Q25" s="220"/>
      <c r="R25" s="220"/>
      <c r="S25" s="220"/>
      <c r="T25" s="220"/>
    </row>
    <row r="26" spans="1:20" ht="27" customHeight="1" thickBot="1">
      <c r="A26" s="576"/>
      <c r="B26" s="635" t="s">
        <v>391</v>
      </c>
      <c r="C26" s="636"/>
      <c r="D26" s="636"/>
      <c r="E26" s="1192">
        <f>[11]Chart!C32</f>
        <v>1.78E-2</v>
      </c>
      <c r="F26" s="377" t="s">
        <v>52</v>
      </c>
      <c r="G26" s="638"/>
      <c r="H26" s="639"/>
      <c r="I26" s="640">
        <v>68</v>
      </c>
      <c r="J26" s="641">
        <f>SUM(J24:J25)</f>
        <v>81.380697999999995</v>
      </c>
      <c r="K26" s="630"/>
      <c r="L26" s="583"/>
      <c r="M26" s="642"/>
      <c r="N26" s="417">
        <v>100</v>
      </c>
      <c r="O26" s="641">
        <f>SUM(O24:O25)</f>
        <v>116.0775</v>
      </c>
      <c r="P26" s="630"/>
      <c r="Q26" s="220"/>
      <c r="R26" s="220"/>
      <c r="S26" s="220"/>
      <c r="T26" s="220"/>
    </row>
    <row r="27" spans="1:20" ht="30.75" customHeight="1" thickBot="1">
      <c r="A27" s="576"/>
      <c r="B27" s="643" t="s">
        <v>221</v>
      </c>
      <c r="C27" s="644"/>
      <c r="D27" s="644"/>
      <c r="E27" s="1171">
        <f>[11]Chart!C31</f>
        <v>3.7000000000000002E-3</v>
      </c>
      <c r="F27" s="645" t="s">
        <v>222</v>
      </c>
      <c r="G27" s="634"/>
      <c r="H27" s="646"/>
      <c r="I27" s="647"/>
      <c r="J27" s="647"/>
      <c r="K27" s="630"/>
      <c r="L27" s="648"/>
      <c r="M27" s="649"/>
      <c r="N27" s="647"/>
      <c r="O27" s="647"/>
      <c r="P27" s="630"/>
      <c r="Q27" s="220"/>
      <c r="R27" s="220"/>
      <c r="S27" s="220"/>
      <c r="T27" s="220"/>
    </row>
    <row r="28" spans="1:20" ht="30" hidden="1" customHeight="1">
      <c r="A28" s="576"/>
      <c r="B28" s="1323"/>
      <c r="C28" s="1323"/>
      <c r="D28" s="1323"/>
      <c r="E28" s="1323"/>
      <c r="F28" s="1323"/>
      <c r="G28" s="650"/>
      <c r="H28" s="651" t="s">
        <v>264</v>
      </c>
      <c r="I28" s="652" t="s">
        <v>59</v>
      </c>
      <c r="J28" s="652" t="s">
        <v>230</v>
      </c>
      <c r="K28" s="653"/>
      <c r="L28" s="583"/>
      <c r="M28" s="654" t="s">
        <v>265</v>
      </c>
      <c r="N28" s="652" t="s">
        <v>59</v>
      </c>
      <c r="O28" s="652" t="s">
        <v>230</v>
      </c>
      <c r="P28" s="655"/>
      <c r="Q28" s="220"/>
      <c r="R28" s="220"/>
      <c r="S28" s="220"/>
      <c r="T28" s="220"/>
    </row>
    <row r="29" spans="1:20" ht="15.75" hidden="1" customHeight="1">
      <c r="A29" s="576"/>
      <c r="B29" s="656"/>
      <c r="C29" s="656"/>
      <c r="D29" s="656"/>
      <c r="E29" s="656"/>
      <c r="F29" s="656"/>
      <c r="G29" s="650"/>
      <c r="H29" s="657" t="s">
        <v>256</v>
      </c>
      <c r="I29" s="658">
        <v>73.209999999999994</v>
      </c>
      <c r="J29" s="659">
        <f>I29*(E26+1)</f>
        <v>74.513137999999998</v>
      </c>
      <c r="K29" s="660"/>
      <c r="L29" s="661"/>
      <c r="M29" s="662" t="s">
        <v>256</v>
      </c>
      <c r="N29" s="663">
        <v>120.66</v>
      </c>
      <c r="O29" s="664">
        <f>N29*(E26+1)</f>
        <v>122.807748</v>
      </c>
      <c r="P29" s="665"/>
      <c r="Q29" s="220"/>
      <c r="R29" s="220"/>
      <c r="S29" s="220"/>
      <c r="T29" s="220"/>
    </row>
    <row r="30" spans="1:20" ht="19.5" hidden="1" thickBot="1">
      <c r="A30" s="576"/>
      <c r="B30" s="666"/>
      <c r="C30" s="666"/>
      <c r="D30" s="666"/>
      <c r="E30" s="666"/>
      <c r="F30" s="666"/>
      <c r="G30" s="667"/>
      <c r="H30" s="657" t="s">
        <v>257</v>
      </c>
      <c r="I30" s="668">
        <v>78.569999999999993</v>
      </c>
      <c r="J30" s="668">
        <f>I30*(E26+1)</f>
        <v>79.968545999999989</v>
      </c>
      <c r="K30" s="660"/>
      <c r="L30" s="661"/>
      <c r="M30" s="662" t="s">
        <v>257</v>
      </c>
      <c r="N30" s="669">
        <v>112.66</v>
      </c>
      <c r="O30" s="670">
        <f>N30*(E26+1)</f>
        <v>114.66534799999999</v>
      </c>
      <c r="P30" s="665"/>
    </row>
    <row r="31" spans="1:20" ht="15" hidden="1" customHeight="1">
      <c r="A31" s="576"/>
      <c r="B31" s="671"/>
      <c r="C31" s="671"/>
      <c r="D31" s="671"/>
      <c r="E31" s="671"/>
      <c r="F31" s="671"/>
      <c r="G31" s="44"/>
      <c r="H31" s="672" t="s">
        <v>65</v>
      </c>
      <c r="I31" s="673">
        <f>SUM(I29:I30)</f>
        <v>151.77999999999997</v>
      </c>
      <c r="J31" s="674">
        <f>SUM(J29:J30)</f>
        <v>154.48168399999997</v>
      </c>
      <c r="K31" s="675">
        <f>(J31-I31)/I31</f>
        <v>1.7800000000000003E-2</v>
      </c>
      <c r="L31" s="583"/>
      <c r="M31" s="676" t="s">
        <v>65</v>
      </c>
      <c r="N31" s="673">
        <v>200</v>
      </c>
      <c r="O31" s="677">
        <f>SUM(O29:O30)</f>
        <v>237.473096</v>
      </c>
      <c r="P31" s="678">
        <f>(O31-N31)/N31</f>
        <v>0.18736548</v>
      </c>
    </row>
    <row r="32" spans="1:20" ht="19.5" thickBot="1">
      <c r="A32" s="576"/>
      <c r="B32" s="390" t="s">
        <v>224</v>
      </c>
      <c r="C32" s="391"/>
      <c r="D32" s="392"/>
      <c r="E32" s="393">
        <v>25.16</v>
      </c>
      <c r="F32" s="394" t="s">
        <v>195</v>
      </c>
      <c r="G32" s="44"/>
      <c r="H32" s="679"/>
      <c r="I32" s="679"/>
      <c r="J32" s="679"/>
      <c r="K32" s="679"/>
      <c r="L32" s="25"/>
      <c r="M32" s="680"/>
      <c r="N32" s="681"/>
      <c r="O32" s="682"/>
      <c r="P32" s="683"/>
    </row>
    <row r="33" spans="1:15" ht="24.75" customHeight="1" thickBot="1">
      <c r="A33" s="576"/>
      <c r="B33" s="390" t="s">
        <v>227</v>
      </c>
      <c r="C33" s="391"/>
      <c r="D33" s="392"/>
      <c r="E33" s="393">
        <v>27.02</v>
      </c>
      <c r="F33" s="394" t="s">
        <v>195</v>
      </c>
      <c r="G33" s="373"/>
      <c r="H33" s="44"/>
      <c r="I33" s="44"/>
      <c r="J33" s="44"/>
      <c r="K33" s="44"/>
      <c r="L33" s="532"/>
      <c r="M33"/>
      <c r="N33" s="684"/>
      <c r="O33"/>
    </row>
    <row r="34" spans="1:15" ht="23.25" customHeight="1">
      <c r="A34" s="576"/>
      <c r="B34"/>
      <c r="C34"/>
      <c r="D34"/>
      <c r="E34"/>
      <c r="F34"/>
      <c r="G34" s="685"/>
      <c r="H34" s="373"/>
      <c r="I34" s="373"/>
      <c r="J34" s="373"/>
      <c r="K34" s="373"/>
      <c r="L34" s="686"/>
      <c r="M34"/>
      <c r="N34" s="684"/>
      <c r="O34"/>
    </row>
    <row r="35" spans="1:15" ht="29.45" customHeight="1">
      <c r="A35" s="576"/>
      <c r="B35"/>
      <c r="C35"/>
      <c r="D35"/>
      <c r="E35"/>
      <c r="F35"/>
      <c r="G35" s="687"/>
      <c r="H35" s="685"/>
      <c r="I35" s="685"/>
      <c r="J35" s="685"/>
      <c r="K35" s="685"/>
      <c r="L35" s="532"/>
      <c r="M35"/>
      <c r="N35" s="684"/>
      <c r="O35"/>
    </row>
    <row r="36" spans="1:15" ht="15" customHeight="1">
      <c r="A36" s="576"/>
      <c r="B36"/>
      <c r="C36"/>
      <c r="D36"/>
      <c r="E36"/>
      <c r="F36"/>
      <c r="G36" s="688"/>
      <c r="H36" s="687"/>
      <c r="I36" s="687"/>
      <c r="J36" s="687"/>
      <c r="K36" s="687"/>
      <c r="L36"/>
      <c r="M36"/>
      <c r="N36" s="684"/>
      <c r="O36"/>
    </row>
    <row r="37" spans="1:15" ht="15.75" customHeight="1">
      <c r="A37" s="576"/>
      <c r="B37"/>
      <c r="C37"/>
      <c r="D37"/>
      <c r="E37"/>
      <c r="F37"/>
      <c r="G37" s="532"/>
      <c r="H37" s="688"/>
      <c r="I37" s="688"/>
      <c r="J37" s="688"/>
      <c r="K37" s="688"/>
      <c r="L37"/>
      <c r="M37"/>
      <c r="N37" s="684"/>
      <c r="O37"/>
    </row>
    <row r="38" spans="1:15" ht="15">
      <c r="A38" s="576"/>
      <c r="B38"/>
      <c r="C38"/>
      <c r="D38"/>
      <c r="E38"/>
      <c r="F38"/>
      <c r="G38" s="532"/>
      <c r="H38" s="532"/>
      <c r="I38" s="532"/>
      <c r="J38" s="532"/>
      <c r="K38" s="532"/>
      <c r="L38"/>
      <c r="M38"/>
      <c r="N38" s="575"/>
      <c r="O38"/>
    </row>
    <row r="39" spans="1:15" ht="15">
      <c r="A39" s="576"/>
      <c r="B39"/>
      <c r="C39"/>
      <c r="D39"/>
      <c r="E39"/>
      <c r="F39"/>
      <c r="G39" s="532"/>
      <c r="H39" s="532"/>
      <c r="I39" s="532"/>
      <c r="J39" s="532"/>
      <c r="K39" s="532"/>
      <c r="L39"/>
      <c r="M39"/>
      <c r="N39" s="575"/>
      <c r="O39"/>
    </row>
    <row r="40" spans="1:15" ht="15">
      <c r="A40" s="576"/>
      <c r="B40"/>
      <c r="C40"/>
      <c r="D40"/>
      <c r="E40"/>
      <c r="F40"/>
      <c r="G40" s="532"/>
      <c r="H40" s="532"/>
      <c r="I40" s="532"/>
      <c r="J40" s="532"/>
      <c r="K40" s="532"/>
      <c r="L40"/>
      <c r="M40"/>
      <c r="N40" s="575"/>
      <c r="O40"/>
    </row>
    <row r="41" spans="1:15" ht="15">
      <c r="A41" s="576"/>
      <c r="B41"/>
      <c r="C41"/>
      <c r="D41"/>
      <c r="E41"/>
      <c r="F41"/>
      <c r="G41" s="532"/>
      <c r="H41" s="532"/>
      <c r="I41" s="532"/>
      <c r="J41" s="532"/>
      <c r="K41" s="532"/>
      <c r="L41"/>
      <c r="M41"/>
      <c r="N41" s="575"/>
      <c r="O41"/>
    </row>
    <row r="42" spans="1:15" ht="15">
      <c r="A42" s="576"/>
      <c r="B42"/>
      <c r="C42"/>
      <c r="D42"/>
      <c r="E42"/>
      <c r="F42"/>
      <c r="G42" s="532"/>
      <c r="H42" s="532"/>
      <c r="I42" s="532"/>
      <c r="J42" s="532"/>
      <c r="K42" s="532"/>
      <c r="L42"/>
      <c r="M42"/>
      <c r="N42" s="575"/>
      <c r="O42"/>
    </row>
    <row r="43" spans="1:15" ht="15">
      <c r="A43" s="576"/>
      <c r="B43"/>
      <c r="C43"/>
      <c r="D43"/>
      <c r="E43"/>
      <c r="F43"/>
      <c r="G43" s="532"/>
      <c r="H43" s="532"/>
      <c r="I43" s="532"/>
      <c r="J43" s="532"/>
      <c r="K43" s="532"/>
      <c r="L43"/>
      <c r="M43"/>
      <c r="N43" s="575"/>
      <c r="O43"/>
    </row>
    <row r="44" spans="1:15" ht="15">
      <c r="A44" s="576"/>
      <c r="B44"/>
      <c r="C44"/>
      <c r="D44"/>
      <c r="E44"/>
      <c r="F44"/>
      <c r="G44" s="532"/>
      <c r="H44" s="532"/>
      <c r="I44" s="532"/>
      <c r="J44" s="532"/>
      <c r="K44" s="532"/>
      <c r="L44"/>
      <c r="M44"/>
      <c r="N44" s="575"/>
      <c r="O44"/>
    </row>
    <row r="45" spans="1:15" ht="15">
      <c r="A45" s="576"/>
      <c r="B45"/>
      <c r="C45"/>
      <c r="D45"/>
      <c r="E45"/>
      <c r="F45"/>
      <c r="G45" s="532"/>
      <c r="H45" s="532"/>
      <c r="I45" s="532"/>
      <c r="J45" s="532"/>
      <c r="K45" s="532"/>
      <c r="L45"/>
      <c r="M45" s="575"/>
      <c r="N45" s="575"/>
      <c r="O45"/>
    </row>
    <row r="46" spans="1:15" ht="15">
      <c r="A46" s="576"/>
      <c r="B46" s="575"/>
      <c r="C46" s="575"/>
      <c r="D46" s="575"/>
      <c r="E46" s="575"/>
      <c r="F46" s="575"/>
      <c r="G46" s="532"/>
      <c r="H46" s="532"/>
      <c r="I46" s="532"/>
      <c r="J46" s="532"/>
      <c r="K46" s="532"/>
      <c r="L46" s="575"/>
      <c r="M46" s="575"/>
      <c r="N46" s="575"/>
      <c r="O46"/>
    </row>
    <row r="47" spans="1:15" ht="15">
      <c r="A47" s="576"/>
      <c r="B47" s="575"/>
      <c r="C47" s="575"/>
      <c r="D47" s="575"/>
      <c r="E47" s="575"/>
      <c r="F47" s="575"/>
      <c r="G47" s="575"/>
      <c r="H47" s="532"/>
      <c r="I47" s="532"/>
      <c r="J47" s="532"/>
      <c r="K47" s="532"/>
      <c r="L47" s="575"/>
      <c r="M47" s="575"/>
      <c r="N47" s="575"/>
      <c r="O47"/>
    </row>
    <row r="48" spans="1:15" ht="15">
      <c r="B48" s="575"/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/>
    </row>
    <row r="49" spans="1:15" ht="15"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/>
    </row>
    <row r="50" spans="1:15" ht="15">
      <c r="B50" s="575"/>
      <c r="C50" s="575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/>
    </row>
    <row r="51" spans="1:15" ht="35.25" customHeight="1"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/>
    </row>
    <row r="52" spans="1:15" ht="15">
      <c r="A52" s="576"/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/>
    </row>
    <row r="53" spans="1:15" ht="15">
      <c r="A53" s="576"/>
      <c r="B53" s="575"/>
      <c r="C53" s="575"/>
      <c r="D53" s="575"/>
      <c r="E53" s="575"/>
      <c r="F53" s="575"/>
      <c r="G53" s="575"/>
      <c r="H53" s="575"/>
      <c r="I53" s="575"/>
      <c r="J53" s="575"/>
      <c r="K53" s="575"/>
      <c r="L53" s="575"/>
      <c r="M53" s="575"/>
      <c r="N53" s="575"/>
      <c r="O53"/>
    </row>
    <row r="54" spans="1:15" ht="15">
      <c r="A54" s="576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/>
    </row>
    <row r="55" spans="1:15" ht="15">
      <c r="A55" s="576"/>
      <c r="B55" s="575"/>
      <c r="C55" s="575"/>
      <c r="D55" s="575"/>
      <c r="E55" s="575"/>
      <c r="F55" s="575"/>
      <c r="G55" s="575"/>
      <c r="H55" s="575"/>
      <c r="I55" s="575"/>
      <c r="J55" s="575"/>
      <c r="K55" s="575"/>
      <c r="L55" s="575"/>
      <c r="M55" s="575"/>
      <c r="N55" s="575"/>
      <c r="O55"/>
    </row>
    <row r="56" spans="1:15">
      <c r="A56" s="576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5">
      <c r="A57" s="576"/>
      <c r="B57" s="575"/>
      <c r="C57" s="575"/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</row>
    <row r="58" spans="1:15">
      <c r="A58" s="576"/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</row>
    <row r="59" spans="1:15">
      <c r="A59" s="576"/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</row>
    <row r="60" spans="1:15">
      <c r="A60" s="576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</row>
    <row r="61" spans="1:15">
      <c r="A61" s="576"/>
      <c r="B61" s="575"/>
      <c r="C61" s="575"/>
      <c r="D61" s="575"/>
      <c r="E61" s="575"/>
      <c r="F61" s="575"/>
      <c r="G61" s="575"/>
      <c r="H61" s="575"/>
      <c r="I61" s="575"/>
      <c r="J61" s="575"/>
      <c r="K61" s="575"/>
      <c r="L61" s="575"/>
      <c r="M61" s="575"/>
      <c r="N61" s="575"/>
    </row>
    <row r="62" spans="1:15">
      <c r="A62" s="576"/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</row>
    <row r="63" spans="1:15">
      <c r="A63" s="576"/>
      <c r="B63" s="575"/>
      <c r="C63" s="575"/>
      <c r="D63" s="575"/>
      <c r="E63" s="575"/>
      <c r="F63" s="575"/>
      <c r="G63" s="575"/>
      <c r="H63" s="575"/>
      <c r="I63" s="575"/>
      <c r="J63" s="575"/>
      <c r="K63" s="575"/>
      <c r="L63" s="575"/>
      <c r="M63" s="575"/>
      <c r="N63" s="575"/>
    </row>
    <row r="64" spans="1:15">
      <c r="A64" s="576">
        <v>1</v>
      </c>
      <c r="B64" s="575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</row>
    <row r="65" spans="1:14">
      <c r="A65" s="576"/>
      <c r="B65" s="575"/>
      <c r="C65" s="575"/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</row>
    <row r="66" spans="1:14">
      <c r="A66" s="576"/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</row>
    <row r="67" spans="1:14">
      <c r="A67" s="576"/>
      <c r="B67" s="575"/>
      <c r="C67" s="575"/>
      <c r="D67" s="575"/>
      <c r="E67" s="575"/>
      <c r="F67" s="575"/>
      <c r="G67" s="575"/>
      <c r="H67" s="575"/>
      <c r="I67" s="575"/>
      <c r="J67" s="575"/>
      <c r="K67" s="575"/>
      <c r="L67" s="575"/>
      <c r="M67" s="575"/>
      <c r="N67" s="575"/>
    </row>
    <row r="68" spans="1:14">
      <c r="A68" s="576"/>
      <c r="B68" s="575"/>
      <c r="C68" s="575"/>
      <c r="D68" s="575"/>
      <c r="E68" s="575"/>
      <c r="F68" s="575"/>
      <c r="G68" s="575"/>
      <c r="H68" s="575"/>
      <c r="I68" s="575"/>
      <c r="J68" s="575"/>
      <c r="K68" s="575"/>
      <c r="L68" s="575"/>
      <c r="M68" s="575"/>
      <c r="N68" s="575"/>
    </row>
    <row r="69" spans="1:14">
      <c r="A69" s="576"/>
      <c r="B69" s="575"/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</row>
    <row r="70" spans="1:14">
      <c r="A70" s="576"/>
      <c r="B70" s="575"/>
      <c r="C70" s="575"/>
      <c r="D70" s="575"/>
      <c r="E70" s="575"/>
      <c r="F70" s="575"/>
      <c r="G70" s="575"/>
      <c r="H70" s="575"/>
      <c r="I70" s="575"/>
      <c r="J70" s="575"/>
      <c r="K70" s="575"/>
      <c r="L70" s="575"/>
      <c r="M70" s="575"/>
      <c r="N70" s="575"/>
    </row>
    <row r="71" spans="1:14">
      <c r="A71" s="576"/>
      <c r="B71" s="575"/>
      <c r="C71" s="575"/>
      <c r="D71" s="575"/>
      <c r="E71" s="575"/>
      <c r="F71" s="575"/>
      <c r="G71" s="575"/>
      <c r="H71" s="575"/>
      <c r="I71" s="575"/>
      <c r="J71" s="575"/>
      <c r="K71" s="575"/>
      <c r="L71" s="575"/>
      <c r="M71" s="575"/>
      <c r="N71" s="575"/>
    </row>
    <row r="72" spans="1:14">
      <c r="A72" s="576"/>
      <c r="B72" s="575"/>
      <c r="C72" s="575"/>
      <c r="D72" s="575"/>
      <c r="E72" s="575"/>
      <c r="F72" s="575"/>
      <c r="G72" s="575"/>
      <c r="H72" s="575"/>
      <c r="I72" s="575"/>
      <c r="J72" s="575"/>
      <c r="K72" s="575"/>
      <c r="L72" s="575"/>
      <c r="M72" s="575"/>
      <c r="N72" s="575"/>
    </row>
    <row r="73" spans="1:14" ht="15" customHeight="1">
      <c r="A73" s="576"/>
      <c r="B73" s="575"/>
      <c r="C73" s="575"/>
      <c r="D73" s="575"/>
      <c r="E73" s="575"/>
      <c r="F73" s="575"/>
      <c r="G73" s="575"/>
      <c r="H73" s="575"/>
      <c r="I73" s="575"/>
      <c r="J73" s="575"/>
      <c r="K73" s="575"/>
      <c r="L73" s="575"/>
      <c r="M73" s="575"/>
      <c r="N73" s="575"/>
    </row>
    <row r="74" spans="1:14">
      <c r="A74" s="576"/>
      <c r="B74" s="575"/>
      <c r="C74" s="57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</row>
    <row r="75" spans="1:14">
      <c r="A75" s="576"/>
      <c r="B75" s="575"/>
      <c r="C75" s="575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</row>
    <row r="76" spans="1:14">
      <c r="A76" s="576"/>
      <c r="B76" s="575"/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</row>
    <row r="77" spans="1:14">
      <c r="A77" s="576"/>
      <c r="B77" s="575"/>
      <c r="C77" s="57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</row>
    <row r="78" spans="1:14">
      <c r="A78" s="576"/>
      <c r="B78" s="575"/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</row>
    <row r="79" spans="1:14">
      <c r="A79" s="576"/>
      <c r="B79" s="575"/>
      <c r="C79" s="57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</row>
    <row r="80" spans="1:14">
      <c r="A80" s="576"/>
      <c r="B80" s="575"/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</row>
    <row r="81" spans="1:14">
      <c r="A81" s="576"/>
      <c r="B81" s="575"/>
      <c r="C81" s="575"/>
      <c r="D81" s="575"/>
      <c r="E81" s="575"/>
      <c r="F81" s="575"/>
      <c r="G81" s="575"/>
      <c r="H81" s="575"/>
      <c r="I81" s="575"/>
      <c r="J81" s="575"/>
      <c r="K81" s="575"/>
      <c r="L81" s="575"/>
      <c r="M81" s="575"/>
      <c r="N81" s="575"/>
    </row>
    <row r="82" spans="1:14">
      <c r="A82" s="576"/>
      <c r="B82" s="575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</row>
    <row r="83" spans="1:14">
      <c r="A83" s="576"/>
      <c r="B83" s="575"/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</row>
    <row r="84" spans="1:14">
      <c r="A84" s="576"/>
      <c r="B84" s="575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</row>
    <row r="85" spans="1:14">
      <c r="A85" s="576"/>
      <c r="B85" s="575"/>
      <c r="C85" s="575"/>
      <c r="D85" s="575"/>
      <c r="E85" s="575"/>
      <c r="F85" s="575"/>
      <c r="G85" s="575"/>
      <c r="H85" s="575"/>
      <c r="I85" s="575"/>
      <c r="J85" s="575"/>
      <c r="K85" s="575"/>
      <c r="L85" s="575"/>
      <c r="M85" s="575"/>
      <c r="N85" s="575"/>
    </row>
    <row r="86" spans="1:14">
      <c r="A86" s="576"/>
      <c r="B86" s="575"/>
      <c r="C86" s="575"/>
      <c r="D86" s="575"/>
      <c r="E86" s="575"/>
      <c r="F86" s="575"/>
      <c r="G86" s="575"/>
      <c r="H86" s="575"/>
      <c r="I86" s="575"/>
      <c r="J86" s="575"/>
      <c r="K86" s="575"/>
      <c r="L86" s="575"/>
      <c r="M86" s="575"/>
      <c r="N86" s="575"/>
    </row>
    <row r="87" spans="1:14">
      <c r="A87" s="576"/>
      <c r="B87" s="575"/>
      <c r="C87" s="575"/>
      <c r="D87" s="575"/>
      <c r="E87" s="575"/>
      <c r="F87" s="575"/>
      <c r="G87" s="575"/>
      <c r="H87" s="575"/>
      <c r="I87" s="575"/>
      <c r="J87" s="575"/>
      <c r="K87" s="575"/>
      <c r="L87" s="575"/>
      <c r="M87" s="575"/>
      <c r="N87" s="575"/>
    </row>
    <row r="88" spans="1:14">
      <c r="A88" s="576"/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</row>
    <row r="89" spans="1:14">
      <c r="A89" s="576"/>
      <c r="B89" s="575"/>
      <c r="C89" s="575"/>
      <c r="D89" s="575"/>
      <c r="E89" s="575"/>
      <c r="F89" s="575"/>
      <c r="G89" s="575"/>
      <c r="H89" s="575"/>
      <c r="I89" s="575"/>
      <c r="J89" s="575"/>
      <c r="K89" s="575"/>
      <c r="L89" s="575"/>
      <c r="M89" s="575"/>
      <c r="N89" s="575"/>
    </row>
    <row r="90" spans="1:14">
      <c r="A90" s="576"/>
      <c r="B90" s="575"/>
      <c r="C90" s="575"/>
      <c r="D90" s="575"/>
      <c r="E90" s="575"/>
      <c r="F90" s="575"/>
      <c r="G90" s="575"/>
      <c r="H90" s="575"/>
      <c r="I90" s="575"/>
      <c r="J90" s="575"/>
      <c r="K90" s="575"/>
      <c r="L90" s="575"/>
      <c r="M90" s="575"/>
      <c r="N90" s="575"/>
    </row>
    <row r="91" spans="1:14">
      <c r="A91" s="576"/>
      <c r="B91" s="575"/>
      <c r="C91" s="575"/>
      <c r="D91" s="575"/>
      <c r="E91" s="575"/>
      <c r="F91" s="575"/>
      <c r="G91" s="575"/>
      <c r="H91" s="575"/>
      <c r="I91" s="575"/>
      <c r="J91" s="575"/>
      <c r="K91" s="575"/>
      <c r="L91" s="575"/>
      <c r="M91" s="575"/>
      <c r="N91" s="575"/>
    </row>
    <row r="92" spans="1:14">
      <c r="A92" s="576"/>
      <c r="B92" s="575"/>
      <c r="C92" s="575"/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</row>
    <row r="93" spans="1:14">
      <c r="A93" s="576"/>
      <c r="B93" s="575"/>
      <c r="C93" s="575"/>
      <c r="D93" s="575"/>
      <c r="E93" s="575"/>
      <c r="F93" s="575"/>
      <c r="G93" s="575"/>
      <c r="H93" s="575"/>
      <c r="I93" s="575"/>
      <c r="J93" s="575"/>
      <c r="K93" s="575"/>
      <c r="L93" s="575"/>
      <c r="M93" s="575"/>
      <c r="N93" s="575"/>
    </row>
    <row r="94" spans="1:14">
      <c r="A94" s="576"/>
      <c r="B94" s="575"/>
      <c r="C94" s="575"/>
      <c r="D94" s="575"/>
      <c r="E94" s="575"/>
      <c r="F94" s="575"/>
      <c r="G94" s="575"/>
      <c r="H94" s="575"/>
      <c r="I94" s="575"/>
      <c r="J94" s="575"/>
      <c r="K94" s="575"/>
      <c r="L94" s="575"/>
      <c r="M94" s="575"/>
      <c r="N94" s="575"/>
    </row>
    <row r="95" spans="1:14">
      <c r="A95" s="576"/>
      <c r="B95" s="575"/>
      <c r="C95" s="575"/>
      <c r="D95" s="575"/>
      <c r="E95" s="575"/>
      <c r="F95" s="575"/>
      <c r="G95" s="575"/>
      <c r="H95" s="575"/>
      <c r="I95" s="575"/>
      <c r="J95" s="575"/>
      <c r="K95" s="575"/>
      <c r="L95" s="575"/>
      <c r="M95" s="575"/>
      <c r="N95" s="575"/>
    </row>
    <row r="96" spans="1:14">
      <c r="A96" s="576"/>
      <c r="B96" s="575"/>
      <c r="C96" s="575"/>
      <c r="D96" s="575"/>
      <c r="E96" s="575"/>
      <c r="F96" s="575"/>
      <c r="G96" s="575"/>
      <c r="H96" s="575"/>
      <c r="I96" s="575"/>
      <c r="J96" s="575"/>
      <c r="K96" s="575"/>
      <c r="L96" s="575"/>
      <c r="N96" s="575"/>
    </row>
    <row r="97" spans="1:14">
      <c r="A97" s="576"/>
      <c r="B97" s="575"/>
      <c r="C97" s="575"/>
      <c r="D97" s="575"/>
      <c r="E97" s="575"/>
      <c r="F97" s="575"/>
      <c r="G97" s="575"/>
      <c r="H97" s="575"/>
      <c r="I97" s="575"/>
      <c r="J97" s="575"/>
      <c r="K97" s="575"/>
      <c r="L97" s="575"/>
      <c r="N97" s="575"/>
    </row>
    <row r="98" spans="1:14">
      <c r="A98" s="576"/>
      <c r="G98" s="575"/>
      <c r="H98" s="575"/>
      <c r="I98" s="575"/>
      <c r="J98" s="575"/>
      <c r="K98" s="575"/>
      <c r="N98" s="575"/>
    </row>
    <row r="99" spans="1:14">
      <c r="H99" s="575"/>
      <c r="I99" s="575"/>
      <c r="J99" s="575"/>
      <c r="K99" s="575"/>
      <c r="N99" s="575"/>
    </row>
    <row r="100" spans="1:14">
      <c r="N100" s="575"/>
    </row>
    <row r="101" spans="1:14">
      <c r="N101" s="575"/>
    </row>
  </sheetData>
  <mergeCells count="8">
    <mergeCell ref="H22:J22"/>
    <mergeCell ref="B28:F28"/>
    <mergeCell ref="B2:F2"/>
    <mergeCell ref="H2:K2"/>
    <mergeCell ref="M2:P2"/>
    <mergeCell ref="B3:E3"/>
    <mergeCell ref="B10:E10"/>
    <mergeCell ref="B18:E18"/>
  </mergeCells>
  <pageMargins left="0.25" right="0.25" top="0.5" bottom="0.5" header="0.3" footer="0.3"/>
  <pageSetup scale="78" orientation="landscape" cellComments="asDisplayed" r:id="rId1"/>
  <headerFooter alignWithMargins="0"/>
  <rowBreaks count="1" manualBreakCount="1">
    <brk id="6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opLeftCell="A4" zoomScale="70" zoomScaleNormal="70" zoomScaleSheetLayoutView="50" workbookViewId="0">
      <selection activeCell="Q34" sqref="Q34"/>
    </sheetView>
  </sheetViews>
  <sheetFormatPr defaultColWidth="9.140625" defaultRowHeight="12.75"/>
  <cols>
    <col min="1" max="1" width="10.7109375" style="222" customWidth="1"/>
    <col min="2" max="2" width="36.5703125" style="222" customWidth="1"/>
    <col min="3" max="3" width="11" style="222" bestFit="1" customWidth="1"/>
    <col min="4" max="4" width="12.42578125" style="222" customWidth="1"/>
    <col min="5" max="5" width="10.85546875" style="222" customWidth="1"/>
    <col min="6" max="6" width="48.28515625" style="222" customWidth="1"/>
    <col min="7" max="7" width="10.85546875" style="222" customWidth="1"/>
    <col min="8" max="8" width="36.85546875" style="222" customWidth="1"/>
    <col min="9" max="10" width="13.7109375" style="222" customWidth="1"/>
    <col min="11" max="11" width="12.5703125" style="222" customWidth="1"/>
    <col min="12" max="12" width="5.42578125" style="222" customWidth="1"/>
    <col min="13" max="13" width="36.85546875" style="222" customWidth="1"/>
    <col min="14" max="14" width="13.5703125" style="222" customWidth="1"/>
    <col min="15" max="15" width="14.140625" style="222" customWidth="1"/>
    <col min="16" max="16" width="12.5703125" style="222" customWidth="1"/>
    <col min="17" max="17" width="5.5703125" style="222" customWidth="1"/>
    <col min="18" max="18" width="36.85546875" style="222" customWidth="1"/>
    <col min="19" max="19" width="16.28515625" style="222" customWidth="1"/>
    <col min="20" max="20" width="13.7109375" style="222" customWidth="1"/>
    <col min="21" max="21" width="12.7109375" style="222" customWidth="1"/>
    <col min="22" max="22" width="5.5703125" style="222" customWidth="1"/>
    <col min="23" max="16384" width="9.140625" style="222"/>
  </cols>
  <sheetData>
    <row r="1" spans="1:22" ht="18.75" thickBot="1">
      <c r="A1" s="576"/>
      <c r="B1" s="689"/>
      <c r="C1" s="689"/>
      <c r="D1" s="689"/>
      <c r="E1" s="689"/>
      <c r="F1" s="689"/>
      <c r="G1" s="220"/>
      <c r="H1" s="690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6.5" customHeight="1" thickBot="1">
      <c r="A2" s="576"/>
      <c r="B2" s="1324" t="s">
        <v>170</v>
      </c>
      <c r="C2" s="1325"/>
      <c r="D2" s="1325"/>
      <c r="E2" s="1325"/>
      <c r="F2" s="1326"/>
      <c r="G2" s="691"/>
      <c r="H2" s="1281" t="s">
        <v>89</v>
      </c>
      <c r="I2" s="1282"/>
      <c r="J2" s="1282"/>
      <c r="K2" s="1283"/>
      <c r="L2" s="229"/>
      <c r="M2" s="1281" t="s">
        <v>90</v>
      </c>
      <c r="N2" s="1282"/>
      <c r="O2" s="1282"/>
      <c r="P2" s="1283"/>
      <c r="Q2" s="692"/>
      <c r="R2" s="1281" t="s">
        <v>266</v>
      </c>
      <c r="S2" s="1282"/>
      <c r="T2" s="1282"/>
      <c r="U2" s="1283"/>
      <c r="V2" s="693"/>
    </row>
    <row r="3" spans="1:22" ht="37.5">
      <c r="A3" s="576"/>
      <c r="B3" s="1327" t="s">
        <v>171</v>
      </c>
      <c r="C3" s="1328"/>
      <c r="D3" s="1328"/>
      <c r="E3" s="1329"/>
      <c r="F3" s="579" t="s">
        <v>173</v>
      </c>
      <c r="G3" s="694"/>
      <c r="H3" s="237" t="s">
        <v>179</v>
      </c>
      <c r="I3" s="238">
        <v>1</v>
      </c>
      <c r="J3" s="239" t="s">
        <v>180</v>
      </c>
      <c r="K3" s="240">
        <f>I3*365</f>
        <v>365</v>
      </c>
      <c r="L3" s="241"/>
      <c r="M3" s="237" t="s">
        <v>179</v>
      </c>
      <c r="N3" s="238">
        <v>1</v>
      </c>
      <c r="O3" s="239" t="s">
        <v>180</v>
      </c>
      <c r="P3" s="240">
        <f>N3*365</f>
        <v>365</v>
      </c>
      <c r="Q3" s="582"/>
      <c r="R3" s="237" t="s">
        <v>179</v>
      </c>
      <c r="S3" s="238">
        <v>1</v>
      </c>
      <c r="T3" s="239" t="s">
        <v>180</v>
      </c>
      <c r="U3" s="240">
        <f>S3*365</f>
        <v>365</v>
      </c>
      <c r="V3" s="695"/>
    </row>
    <row r="4" spans="1:22" ht="20.25" customHeight="1">
      <c r="A4" s="576"/>
      <c r="B4" s="696" t="s">
        <v>267</v>
      </c>
      <c r="C4" s="1193">
        <f>[11]Chart!C14</f>
        <v>60923.199999999997</v>
      </c>
      <c r="D4" s="1183"/>
      <c r="E4" s="1183"/>
      <c r="F4" s="507" t="s">
        <v>268</v>
      </c>
      <c r="G4" s="697"/>
      <c r="H4" s="249" t="s">
        <v>1</v>
      </c>
      <c r="I4" s="250" t="s">
        <v>183</v>
      </c>
      <c r="J4" s="250" t="s">
        <v>184</v>
      </c>
      <c r="K4" s="251" t="s">
        <v>185</v>
      </c>
      <c r="L4" s="250"/>
      <c r="M4" s="249" t="s">
        <v>1</v>
      </c>
      <c r="N4" s="250" t="s">
        <v>183</v>
      </c>
      <c r="O4" s="250" t="s">
        <v>184</v>
      </c>
      <c r="P4" s="251" t="s">
        <v>185</v>
      </c>
      <c r="Q4" s="583"/>
      <c r="R4" s="249" t="s">
        <v>1</v>
      </c>
      <c r="S4" s="250" t="s">
        <v>183</v>
      </c>
      <c r="T4" s="250" t="s">
        <v>184</v>
      </c>
      <c r="U4" s="251" t="s">
        <v>185</v>
      </c>
      <c r="V4" s="667"/>
    </row>
    <row r="5" spans="1:22" ht="15.75" customHeight="1">
      <c r="A5" s="576"/>
      <c r="B5" s="232" t="s">
        <v>181</v>
      </c>
      <c r="C5" s="1184">
        <f>[11]Chart!C6</f>
        <v>41516.800000000003</v>
      </c>
      <c r="D5" s="1183"/>
      <c r="E5" s="1183"/>
      <c r="F5" s="235" t="str">
        <f>'[11]IFC- Child home rehab Rebased'!F5</f>
        <v>11/1/19: Benchmark to Direct Care III: Minimum education = BA or 5+ years related experience</v>
      </c>
      <c r="G5" s="691"/>
      <c r="H5" s="804" t="s">
        <v>181</v>
      </c>
      <c r="I5" s="1126">
        <f>C5</f>
        <v>41516.800000000003</v>
      </c>
      <c r="J5" s="263">
        <f>C13</f>
        <v>0.05</v>
      </c>
      <c r="K5" s="1127">
        <f>J5*I5</f>
        <v>2075.84</v>
      </c>
      <c r="L5" s="1196"/>
      <c r="M5" s="804" t="s">
        <v>181</v>
      </c>
      <c r="N5" s="1126">
        <f>I5</f>
        <v>41516.800000000003</v>
      </c>
      <c r="O5" s="263">
        <f>D13</f>
        <v>0.05</v>
      </c>
      <c r="P5" s="259">
        <f>O5*N5</f>
        <v>2075.84</v>
      </c>
      <c r="Q5" s="586"/>
      <c r="R5" s="257" t="s">
        <v>181</v>
      </c>
      <c r="S5" s="1126">
        <f>N5</f>
        <v>41516.800000000003</v>
      </c>
      <c r="T5" s="263">
        <f>E13</f>
        <v>6.8000000000000005E-2</v>
      </c>
      <c r="U5" s="259">
        <f>T5*S5</f>
        <v>2823.1424000000002</v>
      </c>
      <c r="V5" s="698"/>
    </row>
    <row r="6" spans="1:22" ht="31.5" customHeight="1">
      <c r="A6" s="576"/>
      <c r="B6" s="255" t="s">
        <v>186</v>
      </c>
      <c r="C6" s="1184">
        <f>'[11]IFC-Shelter-Exploited Yth Rebas'!E6</f>
        <v>52665.599999999999</v>
      </c>
      <c r="D6" s="1183"/>
      <c r="E6" s="1183"/>
      <c r="F6" s="235" t="str">
        <f>'[11]IFC- Child home rehab Rebased'!F6</f>
        <v>11/1/19: Benchmark to BLS Caseworker: Minimum education = BA or 8 years related experience</v>
      </c>
      <c r="G6" s="699"/>
      <c r="H6" s="1128" t="s">
        <v>247</v>
      </c>
      <c r="I6" s="1126">
        <f>C6</f>
        <v>52665.599999999999</v>
      </c>
      <c r="J6" s="263">
        <f>C14</f>
        <v>0.35</v>
      </c>
      <c r="K6" s="1127">
        <f>J6*I6</f>
        <v>18432.96</v>
      </c>
      <c r="L6" s="1196"/>
      <c r="M6" s="1128" t="s">
        <v>247</v>
      </c>
      <c r="N6" s="1126">
        <f>I6</f>
        <v>52665.599999999999</v>
      </c>
      <c r="O6" s="263">
        <f>D14</f>
        <v>0.55000000000000004</v>
      </c>
      <c r="P6" s="259">
        <f>O6*N6</f>
        <v>28966.080000000002</v>
      </c>
      <c r="Q6" s="588"/>
      <c r="R6" s="269" t="s">
        <v>247</v>
      </c>
      <c r="S6" s="1126">
        <f>N6</f>
        <v>52665.599999999999</v>
      </c>
      <c r="T6" s="263">
        <f>E14</f>
        <v>0.2</v>
      </c>
      <c r="U6" s="259">
        <f>T6*S6</f>
        <v>10533.12</v>
      </c>
      <c r="V6" s="700"/>
    </row>
    <row r="7" spans="1:22" ht="15.75" customHeight="1">
      <c r="A7" s="576"/>
      <c r="B7" s="232" t="s">
        <v>187</v>
      </c>
      <c r="C7" s="1184">
        <f>'[11]IFC-Shelter-Exploited Yth Rebas'!E7</f>
        <v>32198.400000000001</v>
      </c>
      <c r="D7" s="1183"/>
      <c r="E7" s="1183"/>
      <c r="F7" s="235" t="str">
        <f>'[11]IFC- Child home rehab Rebased'!F7</f>
        <v xml:space="preserve">11/1/19: Benchmark to Direct Care : Minimum education = HS Diploma / GED / Associates </v>
      </c>
      <c r="G7" s="701"/>
      <c r="H7" s="804" t="s">
        <v>187</v>
      </c>
      <c r="I7" s="1126">
        <f>C7</f>
        <v>32198.400000000001</v>
      </c>
      <c r="J7" s="263">
        <f>C15</f>
        <v>0.06</v>
      </c>
      <c r="K7" s="1127">
        <f>J7*I7</f>
        <v>1931.904</v>
      </c>
      <c r="L7" s="1196"/>
      <c r="M7" s="804" t="s">
        <v>187</v>
      </c>
      <c r="N7" s="1126">
        <f>I7</f>
        <v>32198.400000000001</v>
      </c>
      <c r="O7" s="263">
        <f>D15</f>
        <v>0.06</v>
      </c>
      <c r="P7" s="259">
        <f>O7*N7</f>
        <v>1931.904</v>
      </c>
      <c r="Q7" s="588"/>
      <c r="R7" s="257" t="s">
        <v>187</v>
      </c>
      <c r="S7" s="1126">
        <f>N7</f>
        <v>32198.400000000001</v>
      </c>
      <c r="T7" s="263">
        <f>E15</f>
        <v>0.3</v>
      </c>
      <c r="U7" s="259">
        <f>T7*S7</f>
        <v>9659.52</v>
      </c>
      <c r="V7" s="700"/>
    </row>
    <row r="8" spans="1:22" ht="15.75" customHeight="1">
      <c r="A8" s="576"/>
      <c r="B8" s="232" t="s">
        <v>189</v>
      </c>
      <c r="C8" s="233">
        <f>52305*(3.93%+1)*(1.87%+1)*(2.64386%+1)</f>
        <v>56841.223242690765</v>
      </c>
      <c r="D8" s="233"/>
      <c r="E8" s="1194"/>
      <c r="F8" s="507" t="s">
        <v>190</v>
      </c>
      <c r="G8" s="701"/>
      <c r="H8" s="804" t="s">
        <v>189</v>
      </c>
      <c r="I8" s="1126">
        <f>C8</f>
        <v>56841.223242690765</v>
      </c>
      <c r="J8" s="1188">
        <f>C16</f>
        <v>0.1</v>
      </c>
      <c r="K8" s="1127">
        <f>I8*J8</f>
        <v>5684.1223242690767</v>
      </c>
      <c r="L8" s="1196"/>
      <c r="M8" s="804" t="s">
        <v>189</v>
      </c>
      <c r="N8" s="1126">
        <f>C8</f>
        <v>56841.223242690765</v>
      </c>
      <c r="O8" s="1188">
        <f>D16</f>
        <v>0.1</v>
      </c>
      <c r="P8" s="259">
        <f>N8*O8</f>
        <v>5684.1223242690767</v>
      </c>
      <c r="Q8" s="588"/>
      <c r="R8" s="257" t="s">
        <v>189</v>
      </c>
      <c r="S8" s="1126">
        <f>C8</f>
        <v>56841.223242690765</v>
      </c>
      <c r="T8" s="1188">
        <f>E16</f>
        <v>0.03</v>
      </c>
      <c r="U8" s="259">
        <f>S8*T8</f>
        <v>1705.2366972807229</v>
      </c>
      <c r="V8" s="700"/>
    </row>
    <row r="9" spans="1:22" ht="47.25" customHeight="1">
      <c r="A9" s="576"/>
      <c r="B9" s="264" t="s">
        <v>269</v>
      </c>
      <c r="C9" s="1186">
        <f>'[11]IFC-Shelter-Exploited Yth Rebas'!E4</f>
        <v>43971.200000000004</v>
      </c>
      <c r="D9" s="1195"/>
      <c r="E9" s="1195"/>
      <c r="F9" s="702" t="str">
        <f>'[11]IFC-Shelter-Exploited Yth Rebas'!F4</f>
        <v>11/1/19: Benchmark to BLS Caseworker: Minimum education = BA or 8 years related experience</v>
      </c>
      <c r="G9" s="701"/>
      <c r="H9" s="804" t="str">
        <f>B4</f>
        <v>Clinician w/ Indep Lic.</v>
      </c>
      <c r="I9" s="1126">
        <f>C4</f>
        <v>60923.199999999997</v>
      </c>
      <c r="J9" s="1188">
        <f>C12</f>
        <v>0.05</v>
      </c>
      <c r="K9" s="1127">
        <f>I9*J9</f>
        <v>3046.16</v>
      </c>
      <c r="L9" s="1196"/>
      <c r="M9" s="804" t="str">
        <f>B4</f>
        <v>Clinician w/ Indep Lic.</v>
      </c>
      <c r="N9" s="1126">
        <f>I9</f>
        <v>60923.199999999997</v>
      </c>
      <c r="O9" s="1188">
        <f>D12</f>
        <v>0.12</v>
      </c>
      <c r="P9" s="259">
        <f>N9*O9</f>
        <v>7310.7839999999997</v>
      </c>
      <c r="Q9" s="588"/>
      <c r="R9" s="257" t="str">
        <f>M9</f>
        <v>Clinician w/ Indep Lic.</v>
      </c>
      <c r="S9" s="1126">
        <f>N9</f>
        <v>60923.199999999997</v>
      </c>
      <c r="T9" s="1188">
        <f>E12</f>
        <v>0.1</v>
      </c>
      <c r="U9" s="259">
        <f>S9*T9</f>
        <v>6092.32</v>
      </c>
      <c r="V9" s="700"/>
    </row>
    <row r="10" spans="1:22" ht="19.5" thickBot="1">
      <c r="A10" s="576"/>
      <c r="B10" s="1330" t="s">
        <v>191</v>
      </c>
      <c r="C10" s="1331"/>
      <c r="D10" s="1331"/>
      <c r="E10" s="1332"/>
      <c r="F10" s="271"/>
      <c r="G10" s="701"/>
      <c r="H10" s="804" t="s">
        <v>269</v>
      </c>
      <c r="I10" s="1126">
        <f>C9</f>
        <v>43971.200000000004</v>
      </c>
      <c r="J10" s="1188">
        <f>C17</f>
        <v>0.05</v>
      </c>
      <c r="K10" s="1127">
        <f>I10*J10</f>
        <v>2198.5600000000004</v>
      </c>
      <c r="L10" s="1197"/>
      <c r="M10" s="804" t="s">
        <v>269</v>
      </c>
      <c r="N10" s="1126">
        <f>I10</f>
        <v>43971.200000000004</v>
      </c>
      <c r="O10" s="1188">
        <f>D17</f>
        <v>0.05</v>
      </c>
      <c r="P10" s="259">
        <f>N10*O10</f>
        <v>2198.5600000000004</v>
      </c>
      <c r="Q10" s="703"/>
      <c r="R10" s="257" t="s">
        <v>269</v>
      </c>
      <c r="S10" s="1126">
        <f>N10</f>
        <v>43971.200000000004</v>
      </c>
      <c r="T10" s="1188">
        <f>E17</f>
        <v>0.17499999999999999</v>
      </c>
      <c r="U10" s="259">
        <f>S10*T10</f>
        <v>7694.96</v>
      </c>
      <c r="V10" s="704"/>
    </row>
    <row r="11" spans="1:22" ht="48.75" thickBot="1">
      <c r="A11" s="576"/>
      <c r="B11" s="705" t="s">
        <v>192</v>
      </c>
      <c r="C11" s="706" t="s">
        <v>270</v>
      </c>
      <c r="D11" s="706" t="s">
        <v>271</v>
      </c>
      <c r="E11" s="707" t="s">
        <v>88</v>
      </c>
      <c r="F11" s="277"/>
      <c r="G11" s="708"/>
      <c r="H11" s="1132" t="s">
        <v>196</v>
      </c>
      <c r="I11" s="1133"/>
      <c r="J11" s="1134">
        <f>SUM(J5:J10)</f>
        <v>0.66</v>
      </c>
      <c r="K11" s="1135">
        <f>SUM(K5:K10)</f>
        <v>33369.546324269075</v>
      </c>
      <c r="L11" s="1198"/>
      <c r="M11" s="1132" t="s">
        <v>196</v>
      </c>
      <c r="N11" s="1133"/>
      <c r="O11" s="1134">
        <f>SUM(O5:O10)</f>
        <v>0.93000000000000016</v>
      </c>
      <c r="P11" s="289">
        <f>SUM(P5:P10)</f>
        <v>48167.290324269074</v>
      </c>
      <c r="Q11" s="604"/>
      <c r="R11" s="286" t="s">
        <v>196</v>
      </c>
      <c r="S11" s="1133"/>
      <c r="T11" s="1134">
        <f>SUM(T5:T10)</f>
        <v>0.873</v>
      </c>
      <c r="U11" s="289">
        <f>SUM(U5:U10)</f>
        <v>38508.299097280724</v>
      </c>
      <c r="V11" s="709"/>
    </row>
    <row r="12" spans="1:22" ht="26.25" customHeight="1">
      <c r="A12" s="576">
        <v>1</v>
      </c>
      <c r="B12" s="710" t="s">
        <v>272</v>
      </c>
      <c r="C12" s="711">
        <v>0.05</v>
      </c>
      <c r="D12" s="282">
        <v>0.12</v>
      </c>
      <c r="E12" s="282">
        <v>0.1</v>
      </c>
      <c r="F12" s="284" t="s">
        <v>195</v>
      </c>
      <c r="G12" s="712"/>
      <c r="H12" s="590" t="s">
        <v>199</v>
      </c>
      <c r="I12" s="1139"/>
      <c r="J12" s="1140">
        <f>E20</f>
        <v>0.22309999999999999</v>
      </c>
      <c r="K12" s="1141">
        <f>K11*J12</f>
        <v>7444.7457849444299</v>
      </c>
      <c r="L12" s="1197"/>
      <c r="M12" s="590" t="s">
        <v>199</v>
      </c>
      <c r="N12" s="1139"/>
      <c r="O12" s="1140">
        <f>E20</f>
        <v>0.22309999999999999</v>
      </c>
      <c r="P12" s="301">
        <f>P11*O12</f>
        <v>10746.12247134443</v>
      </c>
      <c r="Q12" s="598"/>
      <c r="R12" s="299" t="s">
        <v>199</v>
      </c>
      <c r="S12" s="1139"/>
      <c r="T12" s="1140">
        <f>E20</f>
        <v>0.22309999999999999</v>
      </c>
      <c r="U12" s="301">
        <f>U11*T12</f>
        <v>8591.2015286033293</v>
      </c>
      <c r="V12" s="713"/>
    </row>
    <row r="13" spans="1:22" ht="19.5" thickBot="1">
      <c r="A13" s="576"/>
      <c r="B13" s="714" t="s">
        <v>181</v>
      </c>
      <c r="C13" s="715">
        <v>0.05</v>
      </c>
      <c r="D13" s="282">
        <v>0.05</v>
      </c>
      <c r="E13" s="282">
        <v>6.8000000000000005E-2</v>
      </c>
      <c r="F13" s="284" t="s">
        <v>195</v>
      </c>
      <c r="G13" s="716"/>
      <c r="H13" s="1142" t="s">
        <v>200</v>
      </c>
      <c r="I13" s="1143"/>
      <c r="J13" s="1143"/>
      <c r="K13" s="1144">
        <f>K11+K12</f>
        <v>40814.292109213508</v>
      </c>
      <c r="L13" s="1197"/>
      <c r="M13" s="1142" t="s">
        <v>200</v>
      </c>
      <c r="N13" s="1143"/>
      <c r="O13" s="1143"/>
      <c r="P13" s="306">
        <f>P11+P12</f>
        <v>58913.412795613505</v>
      </c>
      <c r="Q13" s="583"/>
      <c r="R13" s="304" t="s">
        <v>200</v>
      </c>
      <c r="S13" s="1143"/>
      <c r="T13" s="1143"/>
      <c r="U13" s="306">
        <f>U11+U12</f>
        <v>47099.500625884051</v>
      </c>
      <c r="V13" s="667"/>
    </row>
    <row r="14" spans="1:22" ht="19.5" thickTop="1">
      <c r="A14" s="576"/>
      <c r="B14" s="717" t="s">
        <v>186</v>
      </c>
      <c r="C14" s="718">
        <v>0.35</v>
      </c>
      <c r="D14" s="282">
        <v>0.55000000000000004</v>
      </c>
      <c r="E14" s="282">
        <v>0.2</v>
      </c>
      <c r="F14" s="284" t="s">
        <v>195</v>
      </c>
      <c r="G14" s="716"/>
      <c r="H14" s="314" t="str">
        <f>B29</f>
        <v>PFLMA Trust Contribution</v>
      </c>
      <c r="I14" s="609"/>
      <c r="J14" s="609">
        <f>E29</f>
        <v>3.7000000000000002E-3</v>
      </c>
      <c r="K14" s="1138">
        <f>J14*K11</f>
        <v>123.46732139979558</v>
      </c>
      <c r="L14" s="1199"/>
      <c r="M14" s="314" t="str">
        <f>H14</f>
        <v>PFLMA Trust Contribution</v>
      </c>
      <c r="N14" s="609"/>
      <c r="O14" s="609">
        <f>J14</f>
        <v>3.7000000000000002E-3</v>
      </c>
      <c r="P14" s="296">
        <f>O14*P11</f>
        <v>178.21897419979558</v>
      </c>
      <c r="Q14" s="595"/>
      <c r="R14" s="295" t="str">
        <f>M14</f>
        <v>PFLMA Trust Contribution</v>
      </c>
      <c r="S14" s="609"/>
      <c r="T14" s="609">
        <f>O14</f>
        <v>3.7000000000000002E-3</v>
      </c>
      <c r="U14" s="296">
        <f>T14*U11</f>
        <v>142.48070665993868</v>
      </c>
      <c r="V14" s="719"/>
    </row>
    <row r="15" spans="1:22" ht="18.75">
      <c r="A15" s="576"/>
      <c r="B15" s="714" t="s">
        <v>187</v>
      </c>
      <c r="C15" s="718">
        <v>0.06</v>
      </c>
      <c r="D15" s="282">
        <v>0.06</v>
      </c>
      <c r="E15" s="282">
        <v>0.3</v>
      </c>
      <c r="F15" s="284" t="s">
        <v>195</v>
      </c>
      <c r="G15" s="720"/>
      <c r="H15" s="314" t="s">
        <v>202</v>
      </c>
      <c r="I15" s="608"/>
      <c r="J15" s="805">
        <f>D21</f>
        <v>12.410415245799225</v>
      </c>
      <c r="K15" s="806">
        <f>J15*K3</f>
        <v>4529.8015647167167</v>
      </c>
      <c r="L15" s="1199"/>
      <c r="M15" s="314" t="s">
        <v>202</v>
      </c>
      <c r="N15" s="608"/>
      <c r="O15" s="805">
        <f>J15</f>
        <v>12.410415245799225</v>
      </c>
      <c r="P15" s="316">
        <f>O15*P3</f>
        <v>4529.8015647167167</v>
      </c>
      <c r="Q15" s="602"/>
      <c r="R15" s="314" t="s">
        <v>202</v>
      </c>
      <c r="S15" s="608"/>
      <c r="T15" s="1202">
        <f>C21</f>
        <v>10.86726378791526</v>
      </c>
      <c r="U15" s="316">
        <f>T15*U3</f>
        <v>3966.5512825890696</v>
      </c>
      <c r="V15" s="721"/>
    </row>
    <row r="16" spans="1:22" ht="16.5" customHeight="1" thickBot="1">
      <c r="A16" s="576"/>
      <c r="B16" s="714" t="s">
        <v>189</v>
      </c>
      <c r="C16" s="718">
        <v>0.1</v>
      </c>
      <c r="D16" s="282">
        <v>0.1</v>
      </c>
      <c r="E16" s="282">
        <v>0.03</v>
      </c>
      <c r="F16" s="284" t="s">
        <v>195</v>
      </c>
      <c r="G16" s="720"/>
      <c r="H16" s="314" t="s">
        <v>204</v>
      </c>
      <c r="I16" s="608"/>
      <c r="J16" s="805">
        <f>E27</f>
        <v>2.91</v>
      </c>
      <c r="K16" s="806">
        <f>J16*K3</f>
        <v>1062.1500000000001</v>
      </c>
      <c r="L16" s="1197"/>
      <c r="M16" s="314" t="s">
        <v>273</v>
      </c>
      <c r="N16" s="608"/>
      <c r="O16" s="805">
        <f>E21</f>
        <v>42.306257926354107</v>
      </c>
      <c r="P16" s="316">
        <f>O16*P3</f>
        <v>15441.784143119248</v>
      </c>
      <c r="Q16" s="604"/>
      <c r="R16" s="326" t="s">
        <v>207</v>
      </c>
      <c r="S16" s="1146"/>
      <c r="T16" s="1146"/>
      <c r="U16" s="327">
        <f>SUM(U13:U15)</f>
        <v>51208.532615133059</v>
      </c>
      <c r="V16" s="709"/>
    </row>
    <row r="17" spans="1:22" ht="20.25" thickTop="1" thickBot="1">
      <c r="A17" s="576"/>
      <c r="B17" s="722" t="s">
        <v>269</v>
      </c>
      <c r="C17" s="723">
        <v>0.05</v>
      </c>
      <c r="D17" s="309">
        <v>0.05</v>
      </c>
      <c r="E17" s="309">
        <f>7/40</f>
        <v>0.17499999999999999</v>
      </c>
      <c r="F17" s="311" t="s">
        <v>195</v>
      </c>
      <c r="G17" s="720"/>
      <c r="H17" s="1145" t="s">
        <v>207</v>
      </c>
      <c r="I17" s="1146"/>
      <c r="J17" s="1146"/>
      <c r="K17" s="1147">
        <f>SUM(K13:K16)</f>
        <v>46529.710995330024</v>
      </c>
      <c r="L17" s="1198"/>
      <c r="M17" s="314" t="s">
        <v>204</v>
      </c>
      <c r="N17" s="608"/>
      <c r="O17" s="805">
        <f>J16</f>
        <v>2.91</v>
      </c>
      <c r="P17" s="316">
        <f>O17*P3</f>
        <v>1062.1500000000001</v>
      </c>
      <c r="Q17" s="606"/>
      <c r="R17" s="724" t="str">
        <f>F28</f>
        <v>Prospective period FY21 &amp; FY22</v>
      </c>
      <c r="S17" s="1203"/>
      <c r="T17" s="1204">
        <f>E28</f>
        <v>1.78E-2</v>
      </c>
      <c r="U17" s="725">
        <f>(U16*(T17+1)-(U11*T17+1))</f>
        <v>51433.596771750832</v>
      </c>
      <c r="V17" s="726"/>
    </row>
    <row r="18" spans="1:22" ht="17.25" customHeight="1" thickTop="1" thickBot="1">
      <c r="A18" s="576"/>
      <c r="B18" s="727" t="s">
        <v>217</v>
      </c>
      <c r="C18" s="1333">
        <f>35000/365</f>
        <v>95.890410958904113</v>
      </c>
      <c r="D18" s="1334"/>
      <c r="E18" s="282"/>
      <c r="F18" s="284"/>
      <c r="G18" s="716"/>
      <c r="H18" s="314" t="str">
        <f>F28</f>
        <v>Prospective period FY21 &amp; FY22</v>
      </c>
      <c r="I18" s="1148"/>
      <c r="J18" s="609">
        <f>E28</f>
        <v>1.78E-2</v>
      </c>
      <c r="K18" s="1149">
        <f>(K17*(J18+1)-(K11*J18+1))</f>
        <v>46762.961926474913</v>
      </c>
      <c r="L18" s="333"/>
      <c r="M18" s="1200" t="s">
        <v>207</v>
      </c>
      <c r="N18" s="1201"/>
      <c r="O18" s="1201"/>
      <c r="P18" s="728">
        <f>SUM(P13:P17)</f>
        <v>80125.367477649255</v>
      </c>
      <c r="Q18" s="606"/>
      <c r="R18" s="339" t="s">
        <v>210</v>
      </c>
      <c r="S18" s="340"/>
      <c r="T18" s="340"/>
      <c r="U18" s="341">
        <f>(U17/U3)+3.44</f>
        <v>144.35396375822145</v>
      </c>
      <c r="V18" s="726"/>
    </row>
    <row r="19" spans="1:22" ht="26.25" customHeight="1" thickBot="1">
      <c r="A19" s="576"/>
      <c r="B19" s="1330" t="s">
        <v>201</v>
      </c>
      <c r="C19" s="1331"/>
      <c r="D19" s="1331"/>
      <c r="E19" s="1332"/>
      <c r="F19" s="277"/>
      <c r="G19" s="716"/>
      <c r="H19" s="339" t="s">
        <v>210</v>
      </c>
      <c r="I19" s="340"/>
      <c r="J19" s="340"/>
      <c r="K19" s="341">
        <f>K18/K3</f>
        <v>128.11770390815045</v>
      </c>
      <c r="L19" s="25"/>
      <c r="M19" s="314" t="str">
        <f>H18</f>
        <v>Prospective period FY21 &amp; FY22</v>
      </c>
      <c r="N19" s="332"/>
      <c r="O19" s="609">
        <f>J18</f>
        <v>1.78E-2</v>
      </c>
      <c r="P19" s="318">
        <f>(P18*(O19+1)-(P11*O19+1))</f>
        <v>80693.221250979419</v>
      </c>
      <c r="Q19" s="614"/>
      <c r="R19" s="602"/>
      <c r="S19" s="602"/>
      <c r="T19" s="602"/>
      <c r="U19" s="729"/>
      <c r="V19" s="612"/>
    </row>
    <row r="20" spans="1:22" ht="19.5" thickBot="1">
      <c r="A20" s="576"/>
      <c r="B20" s="232" t="s">
        <v>48</v>
      </c>
      <c r="C20" s="320"/>
      <c r="D20" s="320"/>
      <c r="E20" s="616">
        <f>[11]Chart!C30</f>
        <v>0.22309999999999999</v>
      </c>
      <c r="F20" s="322" t="str">
        <f>'[11]IFC-Inte &amp; Enhanced FC Rebased'!F17</f>
        <v>11/1/19 Benchmarked to MA Comptroller FY20</v>
      </c>
      <c r="G20" s="716"/>
      <c r="H20" s="614"/>
      <c r="I20" s="614"/>
      <c r="J20" s="614"/>
      <c r="K20" s="730"/>
      <c r="L20" s="25"/>
      <c r="M20" s="339" t="s">
        <v>210</v>
      </c>
      <c r="N20" s="340"/>
      <c r="O20" s="340"/>
      <c r="P20" s="341">
        <f>P19/P3</f>
        <v>221.07731849583402</v>
      </c>
      <c r="Q20" s="604"/>
      <c r="R20" s="731"/>
      <c r="S20" s="731"/>
      <c r="T20" s="731"/>
      <c r="U20" s="732"/>
      <c r="V20" s="709"/>
    </row>
    <row r="21" spans="1:22" ht="32.25">
      <c r="A21" s="576"/>
      <c r="B21" s="232" t="s">
        <v>205</v>
      </c>
      <c r="C21" s="733">
        <f>10*(1.87%+1)*(3.93%+1)*(2.64386%+1)</f>
        <v>10.86726378791526</v>
      </c>
      <c r="D21" s="324">
        <f>11.42*(1.87%+1)*(3.93%+1)*(2.64386%+1)</f>
        <v>12.410415245799225</v>
      </c>
      <c r="E21" s="809">
        <f>38.93*(1.87%+1)*(3.93%+1)*(2.64386%+1)</f>
        <v>42.306257926354107</v>
      </c>
      <c r="F21" s="531" t="s">
        <v>274</v>
      </c>
      <c r="G21" s="734"/>
      <c r="H21" s="735"/>
      <c r="I21" s="735"/>
      <c r="J21" s="735"/>
      <c r="K21" s="736"/>
      <c r="L21" s="25"/>
      <c r="M21" s="608"/>
      <c r="N21" s="609"/>
      <c r="O21" s="609"/>
      <c r="P21" s="610"/>
      <c r="Q21" s="602"/>
      <c r="R21" s="737"/>
      <c r="S21" s="224"/>
      <c r="T21" s="224"/>
      <c r="U21" s="224"/>
      <c r="V21" s="721"/>
    </row>
    <row r="22" spans="1:22" ht="31.5" customHeight="1">
      <c r="A22" s="576"/>
      <c r="B22" s="232" t="s">
        <v>275</v>
      </c>
      <c r="C22" s="324"/>
      <c r="D22" s="324"/>
      <c r="E22" s="809">
        <f>(23/7)*(1.87%+1)*(3.93%+1)*(2.64386%+1)</f>
        <v>3.5706723874578707</v>
      </c>
      <c r="F22" s="531" t="s">
        <v>276</v>
      </c>
      <c r="G22" s="738"/>
      <c r="H22" s="1335" t="s">
        <v>277</v>
      </c>
      <c r="I22" s="1335"/>
      <c r="J22" s="1335"/>
      <c r="K22" s="1336"/>
      <c r="L22" s="25"/>
      <c r="M22" s="604"/>
      <c r="N22" s="604"/>
      <c r="O22" s="604"/>
      <c r="P22" s="739"/>
      <c r="Q22" s="623"/>
      <c r="R22" s="740"/>
      <c r="S22" s="741" t="s">
        <v>217</v>
      </c>
      <c r="T22" s="626" t="s">
        <v>218</v>
      </c>
      <c r="U22" s="622"/>
      <c r="V22" s="479"/>
    </row>
    <row r="23" spans="1:22" ht="33.75" customHeight="1" thickBot="1">
      <c r="A23" s="576"/>
      <c r="B23" s="335" t="s">
        <v>209</v>
      </c>
      <c r="C23" s="336"/>
      <c r="D23" s="336"/>
      <c r="E23" s="533">
        <v>3.9300000000000002E-2</v>
      </c>
      <c r="F23" s="534"/>
      <c r="G23" s="742"/>
      <c r="H23" s="646"/>
      <c r="I23" s="647"/>
      <c r="J23" s="647"/>
      <c r="K23" s="630"/>
      <c r="L23" s="25"/>
      <c r="M23" s="1337" t="s">
        <v>278</v>
      </c>
      <c r="N23" s="1338"/>
      <c r="O23" s="1338"/>
      <c r="P23" s="1339"/>
      <c r="Q23" s="743"/>
      <c r="R23" s="632" t="s">
        <v>254</v>
      </c>
      <c r="S23" s="386">
        <v>25.16</v>
      </c>
      <c r="T23" s="387">
        <f>E35</f>
        <v>27.02</v>
      </c>
      <c r="U23" s="630"/>
      <c r="V23" s="744"/>
    </row>
    <row r="24" spans="1:22" ht="34.5" customHeight="1">
      <c r="A24" s="576"/>
      <c r="B24" s="335" t="s">
        <v>211</v>
      </c>
      <c r="C24" s="336"/>
      <c r="D24" s="336"/>
      <c r="E24" s="533">
        <v>4.5999999999999999E-2</v>
      </c>
      <c r="F24" s="534"/>
      <c r="G24" s="745"/>
      <c r="H24" s="746"/>
      <c r="I24" s="747" t="s">
        <v>217</v>
      </c>
      <c r="J24" s="748" t="s">
        <v>218</v>
      </c>
      <c r="K24" s="630"/>
      <c r="L24" s="25"/>
      <c r="M24" s="749"/>
      <c r="N24" s="741" t="s">
        <v>217</v>
      </c>
      <c r="O24" s="626" t="s">
        <v>218</v>
      </c>
      <c r="P24" s="630"/>
      <c r="Q24" s="583"/>
      <c r="R24" s="632" t="s">
        <v>226</v>
      </c>
      <c r="S24" s="386">
        <v>35.590000000000003</v>
      </c>
      <c r="T24" s="396">
        <f>S24*(E28+1)</f>
        <v>36.223502000000003</v>
      </c>
      <c r="U24" s="630"/>
      <c r="V24" s="667"/>
    </row>
    <row r="25" spans="1:22" ht="19.5" thickBot="1">
      <c r="A25" s="576"/>
      <c r="B25" s="335" t="s">
        <v>212</v>
      </c>
      <c r="C25" s="336"/>
      <c r="D25" s="336"/>
      <c r="E25" s="750">
        <v>2.6438643292682744E-2</v>
      </c>
      <c r="F25" s="540"/>
      <c r="G25" s="751"/>
      <c r="H25" s="629" t="s">
        <v>254</v>
      </c>
      <c r="I25" s="386">
        <v>25.16</v>
      </c>
      <c r="J25" s="387">
        <f>E35</f>
        <v>27.02</v>
      </c>
      <c r="K25" s="630"/>
      <c r="L25" s="647"/>
      <c r="M25" s="752" t="s">
        <v>254</v>
      </c>
      <c r="N25" s="386">
        <v>25.16</v>
      </c>
      <c r="O25" s="387">
        <f>E35</f>
        <v>27.02</v>
      </c>
      <c r="P25" s="630"/>
      <c r="Q25" s="661"/>
      <c r="R25" s="642"/>
      <c r="S25" s="753">
        <v>51.28</v>
      </c>
      <c r="T25" s="641">
        <f>SUM(T23:T24)</f>
        <v>63.243502000000007</v>
      </c>
      <c r="U25" s="630"/>
      <c r="V25" s="754"/>
    </row>
    <row r="26" spans="1:22" ht="30.75" customHeight="1">
      <c r="A26" s="576"/>
      <c r="B26" s="335" t="s">
        <v>213</v>
      </c>
      <c r="C26" s="336"/>
      <c r="D26" s="336"/>
      <c r="E26" s="533">
        <v>1.8700000000000001E-2</v>
      </c>
      <c r="F26" s="534"/>
      <c r="G26" s="755"/>
      <c r="H26" s="629" t="s">
        <v>226</v>
      </c>
      <c r="I26" s="756">
        <v>83.12</v>
      </c>
      <c r="J26" s="396">
        <f>I26*(E28+1)</f>
        <v>84.599536000000015</v>
      </c>
      <c r="K26" s="630"/>
      <c r="L26" s="647"/>
      <c r="M26" s="752" t="s">
        <v>226</v>
      </c>
      <c r="N26" s="386">
        <v>83.12</v>
      </c>
      <c r="O26" s="396">
        <f>N26*(E28+1)</f>
        <v>84.599536000000015</v>
      </c>
      <c r="P26" s="630"/>
      <c r="Q26" s="757"/>
      <c r="R26" s="649"/>
      <c r="S26" s="647"/>
      <c r="T26" s="647"/>
      <c r="U26" s="630"/>
      <c r="V26" s="373"/>
    </row>
    <row r="27" spans="1:22" ht="30" customHeight="1" thickBot="1">
      <c r="A27" s="576"/>
      <c r="B27" s="366" t="s">
        <v>215</v>
      </c>
      <c r="C27" s="758"/>
      <c r="D27" s="758"/>
      <c r="E27" s="546">
        <v>2.91</v>
      </c>
      <c r="F27" s="534" t="s">
        <v>216</v>
      </c>
      <c r="G27" s="745"/>
      <c r="H27" s="639"/>
      <c r="I27" s="759">
        <f>C18</f>
        <v>95.890410958904113</v>
      </c>
      <c r="J27" s="641">
        <f>SUM(J25:J26)</f>
        <v>111.61953600000001</v>
      </c>
      <c r="K27" s="630"/>
      <c r="L27" s="647"/>
      <c r="M27" s="760"/>
      <c r="N27" s="759">
        <f>C18</f>
        <v>95.890410958904113</v>
      </c>
      <c r="O27" s="641">
        <f>SUM(O25:O26)</f>
        <v>111.61953600000001</v>
      </c>
      <c r="P27" s="630"/>
      <c r="Q27" s="757"/>
      <c r="V27" s="373"/>
    </row>
    <row r="28" spans="1:22" ht="18.75">
      <c r="A28" s="576"/>
      <c r="B28" s="635" t="s">
        <v>220</v>
      </c>
      <c r="C28" s="636"/>
      <c r="D28" s="636"/>
      <c r="E28" s="1192">
        <f>[11]Chart!C32</f>
        <v>1.78E-2</v>
      </c>
      <c r="F28" s="637" t="str">
        <f>[11]Chart!E32</f>
        <v>Prospective period FY21 &amp; FY22</v>
      </c>
      <c r="G28" s="761"/>
      <c r="H28" s="646"/>
      <c r="I28" s="647"/>
      <c r="J28" s="647"/>
      <c r="K28" s="630"/>
      <c r="L28" s="647"/>
      <c r="M28" s="762"/>
      <c r="N28" s="647"/>
      <c r="O28" s="647"/>
      <c r="P28" s="630"/>
      <c r="Q28" s="757"/>
      <c r="V28" s="373"/>
    </row>
    <row r="29" spans="1:22" ht="19.5" thickBot="1">
      <c r="A29" s="576"/>
      <c r="B29" s="643" t="s">
        <v>221</v>
      </c>
      <c r="C29" s="644"/>
      <c r="D29" s="644"/>
      <c r="E29" s="1171">
        <f>[11]Chart!C31</f>
        <v>3.7000000000000002E-3</v>
      </c>
      <c r="F29" s="645" t="s">
        <v>222</v>
      </c>
      <c r="G29" s="745"/>
      <c r="Q29" s="763"/>
      <c r="V29" s="685"/>
    </row>
    <row r="30" spans="1:22" ht="15.75" hidden="1" customHeight="1">
      <c r="A30" s="576"/>
      <c r="B30" s="691"/>
      <c r="C30" s="691"/>
      <c r="D30" s="691"/>
      <c r="E30" s="691"/>
      <c r="F30" s="691"/>
      <c r="G30" s="764"/>
      <c r="H30" s="651" t="s">
        <v>279</v>
      </c>
      <c r="I30" s="652" t="s">
        <v>59</v>
      </c>
      <c r="J30" s="652" t="s">
        <v>230</v>
      </c>
      <c r="K30" s="655"/>
      <c r="L30" s="647"/>
      <c r="M30" s="651" t="s">
        <v>280</v>
      </c>
      <c r="N30" s="652" t="s">
        <v>59</v>
      </c>
      <c r="O30" s="652" t="s">
        <v>230</v>
      </c>
      <c r="P30" s="655"/>
      <c r="Q30" s="765"/>
      <c r="R30" s="654" t="s">
        <v>281</v>
      </c>
      <c r="S30" s="652" t="s">
        <v>59</v>
      </c>
      <c r="T30" s="652" t="s">
        <v>230</v>
      </c>
      <c r="U30" s="655"/>
      <c r="V30" s="687"/>
    </row>
    <row r="31" spans="1:22" ht="19.5" hidden="1" thickBot="1">
      <c r="A31" s="576"/>
      <c r="B31" s="694"/>
      <c r="C31" s="694"/>
      <c r="D31" s="694"/>
      <c r="E31" s="694"/>
      <c r="F31" s="694"/>
      <c r="G31" s="766"/>
      <c r="H31" s="767" t="s">
        <v>256</v>
      </c>
      <c r="I31" s="663">
        <v>117.73</v>
      </c>
      <c r="J31" s="664">
        <f>I31*(E28+1)</f>
        <v>119.82559400000001</v>
      </c>
      <c r="K31" s="768">
        <f>(J31-I31)/I31</f>
        <v>1.7800000000000045E-2</v>
      </c>
      <c r="L31" s="25"/>
      <c r="M31" s="769" t="s">
        <v>256</v>
      </c>
      <c r="N31" s="670">
        <v>200.75</v>
      </c>
      <c r="O31" s="664">
        <f>N31*(E28+1)</f>
        <v>204.32335</v>
      </c>
      <c r="P31" s="665"/>
      <c r="Q31" s="743"/>
      <c r="R31" s="662" t="s">
        <v>256</v>
      </c>
      <c r="S31" s="670">
        <v>141.28</v>
      </c>
      <c r="T31" s="664">
        <f>S31*(E28+1)</f>
        <v>143.79478399999999</v>
      </c>
      <c r="U31" s="665"/>
      <c r="V31" s="744"/>
    </row>
    <row r="32" spans="1:22" ht="24.75" hidden="1" customHeight="1">
      <c r="A32" s="576"/>
      <c r="B32" s="694"/>
      <c r="C32" s="694"/>
      <c r="D32" s="694"/>
      <c r="E32" s="694"/>
      <c r="F32" s="694"/>
      <c r="G32" s="766"/>
      <c r="H32" s="767" t="s">
        <v>257</v>
      </c>
      <c r="I32" s="664">
        <v>108.28</v>
      </c>
      <c r="J32" s="670">
        <f>I32*(E28+1)</f>
        <v>110.207384</v>
      </c>
      <c r="K32" s="665"/>
      <c r="L32" s="25"/>
      <c r="M32" s="769" t="s">
        <v>257</v>
      </c>
      <c r="N32" s="670">
        <v>108.28</v>
      </c>
      <c r="O32" s="670">
        <f>N32*(E28+1)</f>
        <v>110.207384</v>
      </c>
      <c r="P32" s="665"/>
      <c r="Q32" s="743"/>
      <c r="R32" s="662" t="s">
        <v>257</v>
      </c>
      <c r="S32" s="670">
        <v>60.75</v>
      </c>
      <c r="T32" s="670">
        <f>S32*(E28+1)</f>
        <v>61.83135</v>
      </c>
      <c r="U32" s="665"/>
      <c r="V32" s="744"/>
    </row>
    <row r="33" spans="1:22" ht="23.25" hidden="1" customHeight="1">
      <c r="A33" s="576"/>
      <c r="B33" s="691"/>
      <c r="C33" s="691"/>
      <c r="D33" s="691"/>
      <c r="E33" s="691"/>
      <c r="F33" s="691"/>
      <c r="G33" s="1"/>
      <c r="H33" s="672" t="s">
        <v>65</v>
      </c>
      <c r="I33" s="673">
        <v>219.48</v>
      </c>
      <c r="J33" s="673">
        <f>SUM(J31:J32)</f>
        <v>230.03297800000001</v>
      </c>
      <c r="K33" s="675">
        <f>(J33-I33)/I33</f>
        <v>4.808172954255524E-2</v>
      </c>
      <c r="L33" s="25"/>
      <c r="M33" s="770" t="s">
        <v>65</v>
      </c>
      <c r="N33" s="673">
        <v>254.68</v>
      </c>
      <c r="O33" s="673">
        <f>SUM(O31:O32)</f>
        <v>314.530734</v>
      </c>
      <c r="P33" s="675">
        <f>(O33-N33)/N33</f>
        <v>0.23500366734725925</v>
      </c>
      <c r="Q33" s="771"/>
      <c r="R33" s="772" t="s">
        <v>65</v>
      </c>
      <c r="S33" s="673">
        <v>181</v>
      </c>
      <c r="T33" s="673">
        <f>SUM(T31:T32)</f>
        <v>205.62613399999998</v>
      </c>
      <c r="U33" s="675">
        <f>(T33-S33)/S33</f>
        <v>0.13605598895027612</v>
      </c>
      <c r="V33" s="744"/>
    </row>
    <row r="34" spans="1:22" ht="29.45" customHeight="1" thickBot="1">
      <c r="A34" s="576"/>
      <c r="B34" s="390" t="s">
        <v>224</v>
      </c>
      <c r="C34" s="391"/>
      <c r="D34" s="392"/>
      <c r="E34" s="393">
        <v>25.16</v>
      </c>
      <c r="F34" s="394" t="s">
        <v>195</v>
      </c>
      <c r="G34" s="1"/>
      <c r="H34" s="771"/>
      <c r="I34" s="771"/>
      <c r="J34" s="771"/>
      <c r="K34" s="1"/>
      <c r="L34" s="1"/>
      <c r="M34" s="771"/>
      <c r="N34" s="771"/>
      <c r="O34" s="771"/>
      <c r="P34" s="771"/>
      <c r="Q34" s="15"/>
      <c r="R34" s="15"/>
      <c r="S34" s="15"/>
      <c r="T34" s="15"/>
      <c r="U34" s="15"/>
      <c r="V34" s="532"/>
    </row>
    <row r="35" spans="1:22" ht="15" customHeight="1" thickBot="1">
      <c r="A35" s="576"/>
      <c r="B35" s="390" t="s">
        <v>227</v>
      </c>
      <c r="C35" s="391"/>
      <c r="D35" s="392"/>
      <c r="E35" s="393">
        <v>27.02</v>
      </c>
      <c r="F35" s="394" t="s">
        <v>195</v>
      </c>
      <c r="G35"/>
      <c r="H35" s="744"/>
      <c r="I35" s="744"/>
      <c r="J35" s="744"/>
      <c r="K35"/>
      <c r="L35"/>
      <c r="M35" s="771"/>
      <c r="N35" s="771"/>
      <c r="O35" s="771"/>
      <c r="P35" s="771"/>
      <c r="Q35" s="532"/>
      <c r="R35" s="532"/>
      <c r="S35" s="532"/>
      <c r="T35" s="532"/>
      <c r="U35" s="532"/>
      <c r="V35" s="532"/>
    </row>
    <row r="36" spans="1:22" ht="15.75" customHeight="1">
      <c r="A36" s="576"/>
      <c r="B36"/>
      <c r="C36"/>
      <c r="D36"/>
      <c r="E36"/>
      <c r="F36"/>
      <c r="G36"/>
      <c r="H36" s="532"/>
      <c r="I36" s="532"/>
      <c r="J36" s="532"/>
      <c r="K36"/>
      <c r="L36"/>
      <c r="M36" s="532"/>
      <c r="N36" s="532"/>
      <c r="O36" s="532"/>
      <c r="P36" s="532"/>
      <c r="Q36" s="532"/>
      <c r="R36" s="532"/>
      <c r="S36" s="532"/>
      <c r="T36" s="532"/>
      <c r="U36" s="532"/>
      <c r="V36" s="532"/>
    </row>
    <row r="37" spans="1:22" ht="15">
      <c r="A37" s="576"/>
      <c r="B37"/>
      <c r="C37"/>
      <c r="D37"/>
      <c r="E37"/>
      <c r="F37"/>
      <c r="G37"/>
      <c r="H37" s="532"/>
      <c r="I37" s="532"/>
      <c r="J37" s="532"/>
      <c r="K37"/>
      <c r="L37"/>
      <c r="M37" s="532"/>
      <c r="N37" s="532"/>
      <c r="O37" s="532"/>
      <c r="P37" s="532"/>
      <c r="Q37" s="532"/>
      <c r="R37" s="532"/>
      <c r="S37" s="532"/>
      <c r="T37" s="532"/>
      <c r="U37" s="532"/>
      <c r="V37" s="532"/>
    </row>
    <row r="38" spans="1:22" ht="15">
      <c r="A38" s="576"/>
      <c r="B38"/>
      <c r="C38"/>
      <c r="D38"/>
      <c r="E38"/>
      <c r="F38"/>
      <c r="G38"/>
      <c r="H38" s="532"/>
      <c r="I38" s="532"/>
      <c r="J38" s="532"/>
      <c r="K38"/>
      <c r="L38"/>
      <c r="M38" s="532"/>
      <c r="N38" s="532"/>
      <c r="O38" s="532"/>
      <c r="P38" s="532"/>
      <c r="Q38" s="532"/>
      <c r="R38" s="532"/>
      <c r="S38" s="532"/>
      <c r="T38" s="532"/>
      <c r="U38" s="532"/>
      <c r="V38" s="532"/>
    </row>
    <row r="39" spans="1:22" ht="15">
      <c r="A39" s="576"/>
      <c r="B39"/>
      <c r="C39"/>
      <c r="D39"/>
      <c r="E39"/>
      <c r="F39"/>
      <c r="G39"/>
      <c r="H39" s="532"/>
      <c r="I39" s="532"/>
      <c r="J39" s="532"/>
      <c r="K39"/>
      <c r="L39"/>
      <c r="M39" s="532"/>
      <c r="N39" s="532"/>
      <c r="O39" s="532"/>
      <c r="P39" s="532"/>
      <c r="Q39" s="532"/>
      <c r="R39" s="532"/>
      <c r="S39" s="532"/>
      <c r="T39" s="532"/>
      <c r="U39" s="532"/>
      <c r="V39" s="532"/>
    </row>
    <row r="40" spans="1:22" ht="18.75" customHeight="1">
      <c r="A40" s="576"/>
      <c r="B40"/>
      <c r="C40"/>
      <c r="D40"/>
      <c r="E40"/>
      <c r="F40"/>
      <c r="G40"/>
      <c r="H40" s="532"/>
      <c r="I40" s="532"/>
      <c r="J40" s="532"/>
      <c r="K40"/>
      <c r="L40"/>
      <c r="M40" s="532"/>
      <c r="N40" s="532"/>
      <c r="O40" s="532"/>
      <c r="P40" s="532"/>
      <c r="Q40" s="532"/>
      <c r="R40" s="532"/>
      <c r="S40" s="532"/>
      <c r="T40" s="532"/>
      <c r="U40" s="532"/>
      <c r="V40" s="532"/>
    </row>
    <row r="41" spans="1:22" ht="15">
      <c r="A41" s="576"/>
      <c r="B41"/>
      <c r="C41"/>
      <c r="D41"/>
      <c r="E41"/>
      <c r="F41"/>
      <c r="G41"/>
      <c r="H41" s="532"/>
      <c r="I41" s="532"/>
      <c r="J41" s="532"/>
      <c r="K41"/>
      <c r="L41"/>
      <c r="M41" s="532"/>
      <c r="N41" s="532"/>
      <c r="O41" s="532"/>
      <c r="P41" s="532"/>
      <c r="Q41" s="532"/>
      <c r="R41" s="532"/>
      <c r="S41" s="532"/>
      <c r="T41" s="532"/>
      <c r="U41" s="532"/>
      <c r="V41" s="532"/>
    </row>
    <row r="42" spans="1:22" ht="15">
      <c r="A42" s="576"/>
      <c r="B42"/>
      <c r="C42"/>
      <c r="D42"/>
      <c r="E42"/>
      <c r="F42"/>
      <c r="G42"/>
      <c r="H42" s="532"/>
      <c r="I42" s="532"/>
      <c r="J42" s="532"/>
      <c r="K42"/>
      <c r="L42"/>
      <c r="M42" s="532"/>
      <c r="N42" s="532"/>
      <c r="O42" s="532"/>
      <c r="P42" s="532"/>
      <c r="Q42" s="532"/>
      <c r="R42" s="532"/>
      <c r="S42" s="532"/>
      <c r="T42" s="532"/>
      <c r="U42" s="532"/>
      <c r="V42" s="532"/>
    </row>
    <row r="43" spans="1:22" ht="15">
      <c r="A43" s="576"/>
      <c r="B43"/>
      <c r="C43"/>
      <c r="D43"/>
      <c r="E43"/>
      <c r="F43"/>
      <c r="G43"/>
      <c r="H43" s="532"/>
      <c r="I43" s="532"/>
      <c r="J43" s="532"/>
      <c r="K43"/>
      <c r="L43"/>
      <c r="M43" s="532"/>
      <c r="N43" s="532"/>
      <c r="O43" s="532"/>
      <c r="P43" s="532"/>
      <c r="Q43" s="532"/>
      <c r="R43" s="532"/>
      <c r="S43" s="532"/>
      <c r="T43" s="532"/>
      <c r="U43" s="532"/>
      <c r="V43" s="532"/>
    </row>
    <row r="44" spans="1:22" ht="15">
      <c r="A44" s="576"/>
      <c r="B44"/>
      <c r="C44"/>
      <c r="D44"/>
      <c r="E44"/>
      <c r="F44"/>
      <c r="G44"/>
      <c r="H44" s="532"/>
      <c r="I44" s="532"/>
      <c r="J44" s="532"/>
      <c r="K44"/>
      <c r="L44"/>
      <c r="M44" s="532"/>
      <c r="N44" s="532"/>
      <c r="O44" s="532"/>
      <c r="P44" s="532"/>
      <c r="Q44" s="532"/>
      <c r="R44" s="532"/>
      <c r="S44" s="532"/>
      <c r="T44" s="532"/>
      <c r="U44" s="532"/>
      <c r="V44" s="532"/>
    </row>
    <row r="45" spans="1:22" ht="15">
      <c r="A45" s="576"/>
      <c r="B45"/>
      <c r="C45"/>
      <c r="D45"/>
      <c r="E45"/>
      <c r="F45"/>
      <c r="G45"/>
      <c r="H45" s="532"/>
      <c r="I45" s="532"/>
      <c r="J45" s="532"/>
      <c r="K45"/>
      <c r="L45"/>
      <c r="M45" s="532"/>
      <c r="N45" s="532"/>
      <c r="O45" s="532"/>
      <c r="P45" s="532"/>
      <c r="Q45" s="532"/>
      <c r="R45"/>
      <c r="S45"/>
      <c r="T45"/>
      <c r="U45"/>
      <c r="V45" s="532"/>
    </row>
    <row r="46" spans="1:22" ht="15">
      <c r="A46" s="576"/>
      <c r="B46"/>
      <c r="C46"/>
      <c r="D46"/>
      <c r="E46"/>
      <c r="F46"/>
      <c r="G46" s="575"/>
      <c r="H46" s="532"/>
      <c r="I46" s="532"/>
      <c r="J46" s="532"/>
      <c r="K46"/>
      <c r="L46"/>
      <c r="M46" s="532"/>
      <c r="N46" s="532"/>
      <c r="O46" s="532"/>
      <c r="P46" s="532"/>
      <c r="Q46" s="532"/>
      <c r="R46"/>
      <c r="S46"/>
      <c r="T46"/>
      <c r="U46"/>
      <c r="V46" s="532"/>
    </row>
    <row r="47" spans="1:22" ht="15">
      <c r="B47"/>
      <c r="C47"/>
      <c r="D47"/>
      <c r="E47"/>
      <c r="F47"/>
      <c r="G47" s="575"/>
      <c r="H47"/>
      <c r="I47"/>
      <c r="J47"/>
      <c r="K47"/>
      <c r="L47"/>
      <c r="M47" s="532"/>
      <c r="N47" s="532"/>
      <c r="O47" s="532"/>
      <c r="P47" s="532"/>
      <c r="Q47"/>
      <c r="R47"/>
      <c r="S47"/>
      <c r="T47"/>
      <c r="U47"/>
      <c r="V47"/>
    </row>
    <row r="48" spans="1:22" ht="15">
      <c r="B48" s="575"/>
      <c r="C48" s="575"/>
      <c r="D48" s="575"/>
      <c r="E48" s="575"/>
      <c r="F48" s="575"/>
      <c r="G48" s="575"/>
      <c r="H48"/>
      <c r="I48"/>
      <c r="J48"/>
      <c r="K48"/>
      <c r="L48"/>
      <c r="M48" s="532"/>
      <c r="N48" s="532"/>
      <c r="O48" s="532"/>
      <c r="P48" s="532"/>
      <c r="Q48"/>
      <c r="R48"/>
      <c r="S48"/>
      <c r="T48"/>
      <c r="U48"/>
      <c r="V48"/>
    </row>
    <row r="49" spans="1:22" ht="15">
      <c r="B49" s="575"/>
      <c r="C49" s="575"/>
      <c r="D49" s="575"/>
      <c r="E49" s="575"/>
      <c r="F49" s="575"/>
      <c r="G49" s="57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35.25" customHeight="1">
      <c r="B50" s="575"/>
      <c r="C50" s="575"/>
      <c r="D50" s="575"/>
      <c r="E50" s="575"/>
      <c r="F50" s="575"/>
      <c r="G50" s="57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576"/>
      <c r="B51" s="575"/>
      <c r="C51" s="575"/>
      <c r="D51" s="575"/>
      <c r="E51" s="575"/>
      <c r="F51" s="575"/>
      <c r="G51" s="575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576"/>
      <c r="B52" s="575"/>
      <c r="C52" s="575"/>
      <c r="D52" s="575"/>
      <c r="E52" s="575"/>
      <c r="F52" s="575"/>
      <c r="G52" s="575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576"/>
      <c r="B53" s="575"/>
      <c r="C53" s="575"/>
      <c r="D53" s="575"/>
      <c r="E53" s="575"/>
      <c r="F53" s="575"/>
      <c r="G53" s="575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576"/>
      <c r="B54" s="575"/>
      <c r="C54" s="575"/>
      <c r="D54" s="575"/>
      <c r="E54" s="575"/>
      <c r="F54" s="575"/>
      <c r="G54" s="57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576"/>
      <c r="B55" s="575"/>
      <c r="C55" s="575"/>
      <c r="D55" s="575"/>
      <c r="E55" s="575"/>
      <c r="F55" s="575"/>
      <c r="G55" s="57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576"/>
      <c r="B56" s="575"/>
      <c r="C56" s="575"/>
      <c r="D56" s="575"/>
      <c r="E56" s="575"/>
      <c r="F56" s="575"/>
      <c r="G56" s="575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>
      <c r="A57" s="576"/>
      <c r="B57" s="575"/>
      <c r="C57" s="575"/>
      <c r="D57" s="575"/>
      <c r="E57" s="575"/>
      <c r="F57" s="575"/>
      <c r="G57" s="57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576"/>
      <c r="B58" s="575"/>
      <c r="C58" s="575"/>
      <c r="D58" s="575"/>
      <c r="E58" s="575"/>
      <c r="F58" s="575"/>
      <c r="G58" s="575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576"/>
      <c r="B59" s="575"/>
      <c r="C59" s="575"/>
      <c r="D59" s="575"/>
      <c r="E59" s="575"/>
      <c r="F59" s="575"/>
      <c r="G59" s="57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576"/>
      <c r="B60" s="575"/>
      <c r="C60" s="575"/>
      <c r="D60" s="575"/>
      <c r="E60" s="575"/>
      <c r="F60" s="575"/>
      <c r="G60" s="575"/>
      <c r="H60"/>
      <c r="I60"/>
      <c r="J60"/>
      <c r="K60"/>
      <c r="M60"/>
      <c r="N60"/>
      <c r="O60"/>
      <c r="P60"/>
      <c r="Q60"/>
      <c r="R60"/>
      <c r="S60"/>
      <c r="T60"/>
      <c r="U60"/>
      <c r="V60"/>
    </row>
    <row r="61" spans="1:22" ht="15">
      <c r="A61" s="576"/>
      <c r="B61" s="575"/>
      <c r="C61" s="575"/>
      <c r="D61" s="575"/>
      <c r="E61" s="575"/>
      <c r="F61" s="575"/>
      <c r="G61" s="575"/>
      <c r="H61"/>
      <c r="I61"/>
      <c r="J61"/>
      <c r="M61"/>
      <c r="N61"/>
      <c r="O61"/>
      <c r="P61"/>
      <c r="Q61"/>
      <c r="V61"/>
    </row>
    <row r="62" spans="1:22" ht="15">
      <c r="A62" s="576"/>
      <c r="B62" s="575"/>
      <c r="C62" s="575"/>
      <c r="D62" s="575"/>
      <c r="E62" s="575"/>
      <c r="F62" s="575"/>
      <c r="G62" s="575"/>
      <c r="H62"/>
      <c r="I62"/>
      <c r="J62"/>
      <c r="M62"/>
      <c r="N62"/>
      <c r="O62"/>
      <c r="P62"/>
      <c r="Q62"/>
      <c r="V62"/>
    </row>
    <row r="63" spans="1:22" ht="15">
      <c r="A63" s="576">
        <v>1</v>
      </c>
      <c r="B63" s="575"/>
      <c r="C63" s="575"/>
      <c r="D63" s="575"/>
      <c r="E63" s="575"/>
      <c r="F63" s="575"/>
      <c r="G63" s="575"/>
      <c r="H63"/>
      <c r="I63"/>
      <c r="J63"/>
      <c r="M63"/>
      <c r="N63"/>
      <c r="O63"/>
      <c r="P63"/>
    </row>
    <row r="64" spans="1:22" ht="15">
      <c r="A64" s="576"/>
      <c r="B64" s="575"/>
      <c r="C64" s="575"/>
      <c r="D64" s="575"/>
      <c r="E64" s="575"/>
      <c r="F64" s="575"/>
      <c r="G64" s="575"/>
      <c r="H64"/>
      <c r="I64"/>
      <c r="J64"/>
      <c r="M64"/>
      <c r="N64"/>
      <c r="O64"/>
      <c r="P64"/>
    </row>
    <row r="65" spans="1:10" ht="15">
      <c r="A65" s="576"/>
      <c r="B65" s="575"/>
      <c r="C65" s="575"/>
      <c r="D65" s="575"/>
      <c r="E65" s="575"/>
      <c r="F65" s="575"/>
      <c r="G65" s="575"/>
      <c r="H65"/>
      <c r="I65"/>
      <c r="J65"/>
    </row>
    <row r="66" spans="1:10">
      <c r="A66" s="576"/>
      <c r="B66" s="575"/>
      <c r="C66" s="575"/>
      <c r="D66" s="575"/>
      <c r="E66" s="575"/>
      <c r="F66" s="575"/>
      <c r="G66" s="575"/>
    </row>
    <row r="67" spans="1:10">
      <c r="A67" s="576"/>
      <c r="B67" s="575"/>
      <c r="C67" s="575"/>
      <c r="D67" s="575"/>
      <c r="E67" s="575"/>
      <c r="F67" s="575"/>
      <c r="G67" s="575"/>
    </row>
    <row r="68" spans="1:10">
      <c r="A68" s="576"/>
      <c r="B68" s="575"/>
      <c r="C68" s="575"/>
      <c r="D68" s="575"/>
      <c r="E68" s="575"/>
      <c r="F68" s="575"/>
      <c r="G68" s="575"/>
    </row>
    <row r="69" spans="1:10">
      <c r="A69" s="576"/>
      <c r="B69" s="575"/>
      <c r="C69" s="575"/>
      <c r="D69" s="575"/>
      <c r="E69" s="575"/>
      <c r="F69" s="575"/>
      <c r="G69" s="575"/>
    </row>
    <row r="70" spans="1:10">
      <c r="A70" s="576"/>
      <c r="B70" s="575"/>
      <c r="C70" s="575"/>
      <c r="D70" s="575"/>
      <c r="E70" s="575"/>
      <c r="F70" s="575"/>
      <c r="G70" s="575"/>
    </row>
    <row r="71" spans="1:10">
      <c r="A71" s="576"/>
      <c r="B71" s="575"/>
      <c r="C71" s="575"/>
      <c r="D71" s="575"/>
      <c r="E71" s="575"/>
      <c r="F71" s="575"/>
      <c r="G71" s="575"/>
    </row>
    <row r="72" spans="1:10" ht="15" customHeight="1">
      <c r="A72" s="576"/>
      <c r="B72" s="575"/>
      <c r="C72" s="575"/>
      <c r="D72" s="575"/>
      <c r="E72" s="575"/>
      <c r="F72" s="575"/>
      <c r="G72" s="575"/>
    </row>
    <row r="73" spans="1:10">
      <c r="A73" s="576"/>
      <c r="B73" s="575"/>
      <c r="C73" s="575"/>
      <c r="D73" s="575"/>
      <c r="E73" s="575"/>
      <c r="F73" s="575"/>
      <c r="G73" s="575"/>
    </row>
    <row r="74" spans="1:10">
      <c r="A74" s="576"/>
      <c r="B74" s="575"/>
      <c r="C74" s="575"/>
      <c r="D74" s="575"/>
      <c r="E74" s="575"/>
      <c r="F74" s="575"/>
      <c r="G74" s="575"/>
    </row>
    <row r="75" spans="1:10">
      <c r="A75" s="576"/>
      <c r="B75" s="575"/>
      <c r="C75" s="575"/>
      <c r="D75" s="575"/>
      <c r="E75" s="575"/>
      <c r="F75" s="575"/>
      <c r="G75" s="575"/>
    </row>
    <row r="76" spans="1:10">
      <c r="A76" s="576"/>
      <c r="B76" s="575"/>
      <c r="C76" s="575"/>
      <c r="D76" s="575"/>
      <c r="E76" s="575"/>
      <c r="F76" s="575"/>
      <c r="G76" s="575"/>
    </row>
    <row r="77" spans="1:10">
      <c r="A77" s="576"/>
      <c r="B77" s="575"/>
      <c r="C77" s="575"/>
      <c r="D77" s="575"/>
      <c r="E77" s="575"/>
      <c r="F77" s="575"/>
      <c r="G77" s="575"/>
    </row>
    <row r="78" spans="1:10">
      <c r="A78" s="576"/>
      <c r="B78" s="575"/>
      <c r="C78" s="575"/>
      <c r="D78" s="575"/>
      <c r="E78" s="575"/>
      <c r="F78" s="575"/>
      <c r="G78" s="575"/>
    </row>
    <row r="79" spans="1:10">
      <c r="A79" s="576"/>
      <c r="B79" s="575"/>
      <c r="C79" s="575"/>
      <c r="D79" s="575"/>
      <c r="E79" s="575"/>
      <c r="F79" s="575"/>
      <c r="G79" s="575"/>
    </row>
    <row r="80" spans="1:10">
      <c r="A80" s="576"/>
      <c r="B80" s="575"/>
      <c r="C80" s="575"/>
      <c r="D80" s="575"/>
      <c r="E80" s="575"/>
      <c r="F80" s="575"/>
      <c r="G80" s="575"/>
    </row>
    <row r="81" spans="1:7">
      <c r="A81" s="576"/>
      <c r="B81" s="575"/>
      <c r="C81" s="575"/>
      <c r="D81" s="575"/>
      <c r="E81" s="575"/>
      <c r="F81" s="575"/>
      <c r="G81" s="575"/>
    </row>
    <row r="82" spans="1:7">
      <c r="A82" s="576"/>
      <c r="B82" s="575"/>
      <c r="C82" s="575"/>
      <c r="D82" s="575"/>
      <c r="E82" s="575"/>
      <c r="F82" s="575"/>
      <c r="G82" s="575"/>
    </row>
    <row r="83" spans="1:7">
      <c r="A83" s="576"/>
      <c r="B83" s="575"/>
      <c r="C83" s="575"/>
      <c r="D83" s="575"/>
      <c r="E83" s="575"/>
      <c r="F83" s="575"/>
      <c r="G83" s="575"/>
    </row>
    <row r="84" spans="1:7">
      <c r="A84" s="576"/>
      <c r="B84" s="575"/>
      <c r="C84" s="575"/>
      <c r="D84" s="575"/>
      <c r="E84" s="575"/>
      <c r="F84" s="575"/>
      <c r="G84" s="575"/>
    </row>
    <row r="85" spans="1:7">
      <c r="A85" s="576"/>
      <c r="B85" s="575"/>
      <c r="C85" s="575"/>
      <c r="D85" s="575"/>
      <c r="E85" s="575"/>
      <c r="F85" s="575"/>
      <c r="G85" s="575"/>
    </row>
    <row r="86" spans="1:7">
      <c r="A86" s="576"/>
      <c r="B86" s="575"/>
      <c r="C86" s="575"/>
      <c r="D86" s="575"/>
      <c r="E86" s="575"/>
      <c r="F86" s="575"/>
      <c r="G86" s="575"/>
    </row>
    <row r="87" spans="1:7">
      <c r="A87" s="576"/>
      <c r="B87" s="575"/>
      <c r="C87" s="575"/>
      <c r="D87" s="575"/>
      <c r="E87" s="575"/>
      <c r="F87" s="575"/>
      <c r="G87" s="575"/>
    </row>
    <row r="88" spans="1:7">
      <c r="A88" s="576"/>
      <c r="B88" s="575"/>
      <c r="C88" s="575"/>
      <c r="D88" s="575"/>
      <c r="E88" s="575"/>
      <c r="F88" s="575"/>
      <c r="G88" s="575"/>
    </row>
    <row r="89" spans="1:7">
      <c r="A89" s="576"/>
      <c r="B89" s="575"/>
      <c r="C89" s="575"/>
      <c r="D89" s="575"/>
      <c r="E89" s="575"/>
      <c r="F89" s="575"/>
      <c r="G89" s="575"/>
    </row>
    <row r="90" spans="1:7">
      <c r="A90" s="576"/>
      <c r="B90" s="575"/>
      <c r="C90" s="575"/>
      <c r="D90" s="575"/>
      <c r="E90" s="575"/>
      <c r="F90" s="575"/>
      <c r="G90" s="575"/>
    </row>
    <row r="91" spans="1:7">
      <c r="A91" s="576"/>
      <c r="B91" s="575"/>
      <c r="C91" s="575"/>
      <c r="D91" s="575"/>
      <c r="E91" s="575"/>
      <c r="F91" s="575"/>
      <c r="G91" s="575"/>
    </row>
    <row r="92" spans="1:7">
      <c r="A92" s="576"/>
      <c r="B92" s="575"/>
      <c r="C92" s="575"/>
      <c r="D92" s="575"/>
      <c r="E92" s="575"/>
      <c r="F92" s="575"/>
      <c r="G92" s="575"/>
    </row>
    <row r="93" spans="1:7">
      <c r="A93" s="576"/>
      <c r="B93" s="575"/>
      <c r="C93" s="575"/>
      <c r="D93" s="575"/>
      <c r="E93" s="575"/>
      <c r="F93" s="575"/>
      <c r="G93" s="575"/>
    </row>
    <row r="94" spans="1:7">
      <c r="A94" s="576"/>
      <c r="B94" s="575"/>
      <c r="C94" s="575"/>
      <c r="D94" s="575"/>
      <c r="E94" s="575"/>
      <c r="F94" s="575"/>
      <c r="G94" s="575"/>
    </row>
    <row r="95" spans="1:7">
      <c r="A95" s="576"/>
      <c r="B95" s="575"/>
      <c r="C95" s="575"/>
      <c r="D95" s="575"/>
      <c r="E95" s="575"/>
      <c r="F95" s="575"/>
      <c r="G95" s="575"/>
    </row>
    <row r="96" spans="1:7">
      <c r="A96" s="576"/>
      <c r="B96" s="575"/>
      <c r="C96" s="575"/>
      <c r="D96" s="575"/>
      <c r="E96" s="575"/>
      <c r="F96" s="575"/>
      <c r="G96" s="575"/>
    </row>
    <row r="97" spans="1:7">
      <c r="A97" s="576"/>
      <c r="B97" s="575"/>
      <c r="C97" s="575"/>
      <c r="D97" s="575"/>
      <c r="E97" s="575"/>
      <c r="F97" s="575"/>
      <c r="G97" s="575"/>
    </row>
    <row r="98" spans="1:7">
      <c r="B98" s="575"/>
      <c r="C98" s="575"/>
      <c r="D98" s="575"/>
      <c r="E98" s="575"/>
      <c r="F98" s="575"/>
      <c r="G98" s="575"/>
    </row>
    <row r="99" spans="1:7">
      <c r="B99" s="575"/>
      <c r="C99" s="575"/>
      <c r="D99" s="575"/>
      <c r="E99" s="575"/>
      <c r="F99" s="575"/>
    </row>
    <row r="100" spans="1:7">
      <c r="B100" s="575"/>
      <c r="C100" s="575"/>
      <c r="D100" s="575"/>
      <c r="E100" s="575"/>
      <c r="F100" s="575"/>
    </row>
  </sheetData>
  <mergeCells count="10">
    <mergeCell ref="H22:K22"/>
    <mergeCell ref="M23:P23"/>
    <mergeCell ref="B2:F2"/>
    <mergeCell ref="H2:K2"/>
    <mergeCell ref="M2:P2"/>
    <mergeCell ref="R2:U2"/>
    <mergeCell ref="B3:E3"/>
    <mergeCell ref="B10:E10"/>
    <mergeCell ref="C18:D18"/>
    <mergeCell ref="B19:E19"/>
  </mergeCells>
  <pageMargins left="0.25" right="0.25" top="0.5" bottom="0.5" header="0.3" footer="0.3"/>
  <pageSetup scale="54" orientation="landscape" cellComments="asDisplayed" r:id="rId1"/>
  <headerFooter alignWithMargins="0"/>
  <rowBreaks count="1" manualBreakCount="1">
    <brk id="67" max="16383" man="1"/>
  </rowBreaks>
  <ignoredErrors>
    <ignoredError sqref="S8 N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zoomScale="70" zoomScaleNormal="70" zoomScaleSheetLayoutView="50" workbookViewId="0">
      <selection activeCell="J45" sqref="J45"/>
    </sheetView>
  </sheetViews>
  <sheetFormatPr defaultColWidth="9.140625" defaultRowHeight="12.75"/>
  <cols>
    <col min="1" max="1" width="11.7109375" style="222" customWidth="1"/>
    <col min="2" max="2" width="34.42578125" style="222" customWidth="1"/>
    <col min="3" max="3" width="11" style="222" bestFit="1" customWidth="1"/>
    <col min="4" max="4" width="13" style="222" bestFit="1" customWidth="1"/>
    <col min="5" max="5" width="40.85546875" style="222" customWidth="1"/>
    <col min="6" max="6" width="18.28515625" style="222" customWidth="1"/>
    <col min="7" max="7" width="27.28515625" style="222" bestFit="1" customWidth="1"/>
    <col min="8" max="8" width="14.42578125" style="222" customWidth="1"/>
    <col min="9" max="9" width="16.85546875" style="222" bestFit="1" customWidth="1"/>
    <col min="10" max="10" width="16.28515625" style="222" customWidth="1"/>
    <col min="11" max="11" width="12.28515625" style="222" customWidth="1"/>
    <col min="12" max="12" width="27.140625" style="222" customWidth="1"/>
    <col min="13" max="13" width="16.5703125" style="222" bestFit="1" customWidth="1"/>
    <col min="14" max="14" width="14.140625" style="222" customWidth="1"/>
    <col min="15" max="15" width="13.85546875" style="222" customWidth="1"/>
    <col min="16" max="16" width="16.28515625" style="222" customWidth="1"/>
    <col min="17" max="17" width="4.85546875" style="222" customWidth="1"/>
    <col min="18" max="18" width="22.85546875" style="222" customWidth="1"/>
    <col min="19" max="19" width="16.5703125" style="222" bestFit="1" customWidth="1"/>
    <col min="20" max="20" width="18.85546875" style="222" customWidth="1"/>
    <col min="21" max="21" width="17.140625" style="222" customWidth="1"/>
    <col min="22" max="22" width="15.5703125" style="222" customWidth="1"/>
    <col min="23" max="23" width="10.140625" style="222" customWidth="1"/>
    <col min="24" max="24" width="44.140625" style="222" customWidth="1"/>
    <col min="25" max="25" width="16.85546875" style="222" customWidth="1"/>
    <col min="26" max="26" width="15.42578125" style="222" customWidth="1"/>
    <col min="27" max="27" width="12.85546875" style="222" customWidth="1"/>
    <col min="28" max="28" width="15.7109375" style="222" customWidth="1"/>
    <col min="29" max="29" width="8.140625" style="222" customWidth="1"/>
    <col min="30" max="30" width="14.28515625" style="222" customWidth="1"/>
    <col min="31" max="31" width="27.85546875" style="222" customWidth="1"/>
    <col min="32" max="32" width="16.140625" style="222" customWidth="1"/>
    <col min="33" max="33" width="12.28515625" style="222" customWidth="1"/>
    <col min="34" max="34" width="19.85546875" style="222" customWidth="1"/>
    <col min="35" max="35" width="19.7109375" style="222" customWidth="1"/>
    <col min="36" max="36" width="9.85546875" style="222" customWidth="1"/>
    <col min="37" max="37" width="9.140625" style="222" customWidth="1"/>
    <col min="38" max="38" width="33" style="222" customWidth="1"/>
    <col min="39" max="39" width="16.28515625" style="222" customWidth="1"/>
    <col min="40" max="40" width="16.85546875" style="222" customWidth="1"/>
    <col min="41" max="41" width="17.42578125" style="222" customWidth="1"/>
    <col min="42" max="42" width="17.5703125" style="222" customWidth="1"/>
    <col min="43" max="43" width="15.28515625" style="222" customWidth="1"/>
    <col min="44" max="44" width="9.140625" style="222" customWidth="1"/>
    <col min="45" max="45" width="13.85546875" style="222" customWidth="1"/>
    <col min="46" max="48" width="9.140625" style="222" customWidth="1"/>
    <col min="49" max="49" width="20.7109375" style="222" customWidth="1"/>
    <col min="50" max="50" width="9.140625" style="222" customWidth="1"/>
    <col min="51" max="51" width="10.7109375" style="222" customWidth="1"/>
    <col min="52" max="52" width="9.140625" style="222" customWidth="1"/>
    <col min="53" max="53" width="21" style="222" customWidth="1"/>
    <col min="54" max="54" width="14.7109375" style="222" customWidth="1"/>
    <col min="55" max="55" width="14.85546875" style="222" customWidth="1"/>
    <col min="56" max="56" width="13.85546875" style="222" customWidth="1"/>
    <col min="57" max="57" width="15.7109375" style="222" customWidth="1"/>
    <col min="58" max="60" width="9.140625" style="222" customWidth="1"/>
    <col min="61" max="61" width="14.7109375" style="222" customWidth="1"/>
    <col min="62" max="62" width="9.140625" style="222" customWidth="1"/>
    <col min="63" max="63" width="13.7109375" style="222" customWidth="1"/>
    <col min="64" max="64" width="21.42578125" style="222" customWidth="1"/>
    <col min="65" max="65" width="9.140625" style="222" customWidth="1"/>
    <col min="66" max="66" width="18.7109375" style="222" customWidth="1"/>
    <col min="67" max="67" width="9.140625" style="222" customWidth="1"/>
    <col min="68" max="68" width="23" style="222" customWidth="1"/>
    <col min="69" max="69" width="17.42578125" style="222" customWidth="1"/>
    <col min="70" max="70" width="15.42578125" style="222" customWidth="1"/>
    <col min="71" max="71" width="15" style="222" customWidth="1"/>
    <col min="72" max="72" width="16.42578125" style="222" customWidth="1"/>
    <col min="73" max="73" width="9.140625" style="222" customWidth="1"/>
    <col min="74" max="74" width="25.42578125" style="222" customWidth="1"/>
    <col min="75" max="75" width="15.85546875" style="222" customWidth="1"/>
    <col min="76" max="76" width="17.5703125" style="222" customWidth="1"/>
    <col min="77" max="78" width="15.7109375" style="222" customWidth="1"/>
    <col min="79" max="16384" width="9.140625" style="222"/>
  </cols>
  <sheetData>
    <row r="1" spans="1:10" ht="15.75" customHeight="1" thickBot="1">
      <c r="A1" s="576"/>
      <c r="B1" s="560"/>
      <c r="C1" s="560"/>
      <c r="D1" s="560"/>
      <c r="E1" s="560"/>
      <c r="F1" s="560"/>
    </row>
    <row r="2" spans="1:10" ht="22.5" customHeight="1" thickBot="1">
      <c r="A2" s="576"/>
      <c r="B2" s="1274" t="s">
        <v>170</v>
      </c>
      <c r="C2" s="1275"/>
      <c r="D2" s="1275"/>
      <c r="E2" s="1276"/>
      <c r="F2" s="773"/>
      <c r="G2" s="1340" t="s">
        <v>282</v>
      </c>
      <c r="H2" s="1341"/>
      <c r="I2" s="1341"/>
      <c r="J2" s="1342"/>
    </row>
    <row r="3" spans="1:10" ht="18.75">
      <c r="A3" s="576"/>
      <c r="B3" s="1278" t="s">
        <v>171</v>
      </c>
      <c r="C3" s="1279"/>
      <c r="D3" s="1280"/>
      <c r="E3" s="227" t="s">
        <v>173</v>
      </c>
      <c r="F3" s="774"/>
      <c r="G3" s="237" t="s">
        <v>179</v>
      </c>
      <c r="H3" s="238">
        <v>8</v>
      </c>
      <c r="I3" s="239" t="s">
        <v>180</v>
      </c>
      <c r="J3" s="240">
        <f>H3*365</f>
        <v>2920</v>
      </c>
    </row>
    <row r="4" spans="1:10" ht="48">
      <c r="A4" s="576"/>
      <c r="B4" s="232" t="s">
        <v>177</v>
      </c>
      <c r="C4" s="1183">
        <f>'[11]IFC- Acute-Adult Srvs -Rebased'!E9</f>
        <v>43971.200000000004</v>
      </c>
      <c r="D4" s="1183"/>
      <c r="E4" s="235" t="str">
        <f>'[15]IFC- Acute-Adult Srvs -Rebased'!F9</f>
        <v>11/1/19: Benchmark to BLS Caseworker: Minimum education = BA or 8 years related experience</v>
      </c>
      <c r="F4" s="671"/>
      <c r="G4" s="249" t="s">
        <v>1</v>
      </c>
      <c r="H4" s="250" t="s">
        <v>183</v>
      </c>
      <c r="I4" s="250" t="s">
        <v>184</v>
      </c>
      <c r="J4" s="251" t="s">
        <v>185</v>
      </c>
    </row>
    <row r="5" spans="1:10" ht="48">
      <c r="A5" s="576"/>
      <c r="B5" s="232" t="s">
        <v>181</v>
      </c>
      <c r="C5" s="1183">
        <v>41517</v>
      </c>
      <c r="D5" s="1183"/>
      <c r="E5" s="775" t="str">
        <f>'[15]IFC- Acute-Adult Srvs -Rebased'!F5</f>
        <v>11/1/19: Benchmark to Direct Care III: Minimum education = BA or 5+ years related experience</v>
      </c>
      <c r="F5" s="671"/>
      <c r="G5" s="257" t="s">
        <v>177</v>
      </c>
      <c r="H5" s="1126">
        <f>C4</f>
        <v>43971.200000000004</v>
      </c>
      <c r="I5" s="258">
        <f>C14*H3</f>
        <v>0.32</v>
      </c>
      <c r="J5" s="259">
        <f>I5*H5</f>
        <v>14070.784000000001</v>
      </c>
    </row>
    <row r="6" spans="1:10" ht="32.25">
      <c r="A6" s="576"/>
      <c r="B6" s="255" t="s">
        <v>186</v>
      </c>
      <c r="C6" s="1183">
        <f>'[11]IFC- Acute-Adult Srvs -Rebased'!E6</f>
        <v>52665.599999999999</v>
      </c>
      <c r="D6" s="1183"/>
      <c r="E6" s="775" t="str">
        <f>'[15]IFC- Acute-Adult Srvs -Rebased'!F6</f>
        <v>11/1/19: Benchmark to BLS Case Manager: Minimum education = Masters</v>
      </c>
      <c r="F6" s="774"/>
      <c r="G6" s="257" t="s">
        <v>181</v>
      </c>
      <c r="H6" s="1126">
        <f>C5</f>
        <v>41517</v>
      </c>
      <c r="I6" s="258">
        <f>C15*H3</f>
        <v>0.16666666666666666</v>
      </c>
      <c r="J6" s="259">
        <f>I6*H6</f>
        <v>6919.5</v>
      </c>
    </row>
    <row r="7" spans="1:10" ht="48">
      <c r="A7" s="576"/>
      <c r="B7" s="232" t="s">
        <v>187</v>
      </c>
      <c r="C7" s="1184">
        <f>'[11]IFC- Acute-Adult Srvs -Rebased'!E7</f>
        <v>32198.400000000001</v>
      </c>
      <c r="D7" s="1183"/>
      <c r="E7" s="775" t="str">
        <f>'[15]IFC- Acute-Adult Srvs -Rebased'!F7</f>
        <v xml:space="preserve">11/1/19: Benchmark to Direct Care : Minimum education = HS Diploma / GED / Associates </v>
      </c>
      <c r="F7" s="776"/>
      <c r="G7" s="269" t="s">
        <v>247</v>
      </c>
      <c r="H7" s="1126">
        <f>C6</f>
        <v>52665.599999999999</v>
      </c>
      <c r="I7" s="258">
        <f>C16</f>
        <v>1.25</v>
      </c>
      <c r="J7" s="259">
        <f>I7*H7</f>
        <v>65832</v>
      </c>
    </row>
    <row r="8" spans="1:10" ht="18.75">
      <c r="A8" s="576"/>
      <c r="B8" s="232" t="s">
        <v>189</v>
      </c>
      <c r="C8" s="233">
        <f>52305*(3.93%+1)*(1.87%+1)*(2.64386%+1)</f>
        <v>56841.223242690765</v>
      </c>
      <c r="D8" s="1183"/>
      <c r="E8" s="507" t="s">
        <v>190</v>
      </c>
      <c r="F8" s="778"/>
      <c r="G8" s="257" t="s">
        <v>187</v>
      </c>
      <c r="H8" s="1126">
        <f>C7</f>
        <v>32198.400000000001</v>
      </c>
      <c r="I8" s="779">
        <f>C17*H3</f>
        <v>1</v>
      </c>
      <c r="J8" s="259">
        <f>I8*H8</f>
        <v>32198.400000000001</v>
      </c>
    </row>
    <row r="9" spans="1:10" ht="32.25">
      <c r="A9" s="576"/>
      <c r="B9" s="501" t="s">
        <v>283</v>
      </c>
      <c r="C9" s="1183">
        <f>[11]Chart!C14</f>
        <v>60923.199999999997</v>
      </c>
      <c r="D9" s="1183"/>
      <c r="E9" s="268" t="s">
        <v>284</v>
      </c>
      <c r="F9" s="778"/>
      <c r="G9" s="257" t="s">
        <v>189</v>
      </c>
      <c r="H9" s="1126">
        <f t="shared" ref="H9" si="0">C8</f>
        <v>56841.223242690765</v>
      </c>
      <c r="I9" s="779">
        <f>C18*H3</f>
        <v>0.1</v>
      </c>
      <c r="J9" s="259">
        <f>H9*I9</f>
        <v>5684.1223242690767</v>
      </c>
    </row>
    <row r="10" spans="1:10" ht="32.25">
      <c r="A10" s="576"/>
      <c r="B10" s="501" t="s">
        <v>285</v>
      </c>
      <c r="C10" s="1183">
        <f>[11]Chart!C10</f>
        <v>43971.200000000004</v>
      </c>
      <c r="D10" s="1183"/>
      <c r="E10" s="268" t="s">
        <v>286</v>
      </c>
      <c r="F10" s="778"/>
      <c r="G10" s="257" t="s">
        <v>283</v>
      </c>
      <c r="H10" s="1126">
        <f>C9</f>
        <v>60923.199999999997</v>
      </c>
      <c r="I10" s="779">
        <f>C19</f>
        <v>0.15</v>
      </c>
      <c r="J10" s="259">
        <f>H10*I10</f>
        <v>9138.48</v>
      </c>
    </row>
    <row r="11" spans="1:10" ht="32.25">
      <c r="A11" s="576"/>
      <c r="B11" s="264" t="s">
        <v>248</v>
      </c>
      <c r="C11" s="1186">
        <f>'[11]IFC- Child home rehab Rebased'!D9</f>
        <v>86860.800000000003</v>
      </c>
      <c r="D11" s="1195"/>
      <c r="E11" s="268" t="str">
        <f>'[15]IFC- Child home rehab Rebased'!E9</f>
        <v>11/1/19: Benchmark to BLS Registered Nurse</v>
      </c>
      <c r="F11" s="778"/>
      <c r="G11" s="257" t="s">
        <v>285</v>
      </c>
      <c r="H11" s="1126">
        <f>C10</f>
        <v>43971.200000000004</v>
      </c>
      <c r="I11" s="779">
        <f>C20</f>
        <v>0.5</v>
      </c>
      <c r="J11" s="259">
        <f>H11*I11</f>
        <v>21985.600000000002</v>
      </c>
    </row>
    <row r="12" spans="1:10" ht="19.5" thickBot="1">
      <c r="A12" s="576"/>
      <c r="B12" s="1284" t="s">
        <v>191</v>
      </c>
      <c r="C12" s="1285"/>
      <c r="D12" s="1286"/>
      <c r="E12" s="271"/>
      <c r="F12" s="667"/>
      <c r="G12" s="257" t="s">
        <v>248</v>
      </c>
      <c r="H12" s="1129">
        <f>C11</f>
        <v>86860.800000000003</v>
      </c>
      <c r="I12" s="780">
        <f>C21</f>
        <v>0.1</v>
      </c>
      <c r="J12" s="279">
        <f>I12*H12</f>
        <v>8686.08</v>
      </c>
    </row>
    <row r="13" spans="1:10" ht="19.5" thickBot="1">
      <c r="A13" s="576">
        <v>1</v>
      </c>
      <c r="B13" s="273" t="s">
        <v>192</v>
      </c>
      <c r="C13" s="274" t="s">
        <v>193</v>
      </c>
      <c r="D13" s="275"/>
      <c r="E13" s="277"/>
      <c r="F13" s="781"/>
      <c r="G13" s="286" t="s">
        <v>196</v>
      </c>
      <c r="H13" s="287"/>
      <c r="I13" s="1134">
        <f>SUM(I5:I12)</f>
        <v>3.5866666666666669</v>
      </c>
      <c r="J13" s="289">
        <f>SUM(J5:J12)</f>
        <v>164514.96632426907</v>
      </c>
    </row>
    <row r="14" spans="1:10" ht="18.75">
      <c r="A14" s="576"/>
      <c r="B14" s="232" t="s">
        <v>177</v>
      </c>
      <c r="C14" s="281">
        <f>1/25</f>
        <v>0.04</v>
      </c>
      <c r="D14" s="282"/>
      <c r="E14" s="284" t="s">
        <v>195</v>
      </c>
      <c r="F14" s="782"/>
      <c r="G14" s="299" t="s">
        <v>199</v>
      </c>
      <c r="H14" s="300"/>
      <c r="I14" s="1140">
        <f>D23</f>
        <v>0.22309999999999999</v>
      </c>
      <c r="J14" s="301">
        <f>J13*I14</f>
        <v>36703.288986944426</v>
      </c>
    </row>
    <row r="15" spans="1:10" ht="15.75" customHeight="1" thickBot="1">
      <c r="A15" s="576"/>
      <c r="B15" s="232" t="s">
        <v>181</v>
      </c>
      <c r="C15" s="281">
        <f>1/6/8</f>
        <v>2.0833333333333332E-2</v>
      </c>
      <c r="D15" s="292"/>
      <c r="E15" s="284" t="s">
        <v>197</v>
      </c>
      <c r="F15" s="782"/>
      <c r="G15" s="304" t="s">
        <v>200</v>
      </c>
      <c r="H15" s="305"/>
      <c r="I15" s="1143"/>
      <c r="J15" s="306">
        <f>J13+J14</f>
        <v>201218.25531121349</v>
      </c>
    </row>
    <row r="16" spans="1:10" ht="15.75" customHeight="1" thickTop="1">
      <c r="A16" s="576"/>
      <c r="B16" s="232" t="s">
        <v>186</v>
      </c>
      <c r="C16" s="281">
        <v>1.25</v>
      </c>
      <c r="D16" s="282"/>
      <c r="E16" s="284" t="s">
        <v>195</v>
      </c>
      <c r="F16" s="783"/>
      <c r="G16" s="295" t="str">
        <f>B31</f>
        <v>PFLMA Trust Contribution</v>
      </c>
      <c r="H16" s="597"/>
      <c r="I16" s="609">
        <f>D31</f>
        <v>3.7000000000000002E-3</v>
      </c>
      <c r="J16" s="296">
        <f>I16*J13</f>
        <v>608.70537539979557</v>
      </c>
    </row>
    <row r="17" spans="1:11" ht="18.75">
      <c r="A17" s="576"/>
      <c r="B17" s="232" t="s">
        <v>187</v>
      </c>
      <c r="C17" s="281">
        <f>0.125</f>
        <v>0.125</v>
      </c>
      <c r="D17" s="282"/>
      <c r="E17" s="284" t="s">
        <v>195</v>
      </c>
      <c r="F17" s="783"/>
      <c r="G17" s="314" t="s">
        <v>202</v>
      </c>
      <c r="H17" s="315"/>
      <c r="I17" s="805">
        <f>D24</f>
        <v>10.86726378791526</v>
      </c>
      <c r="J17" s="316">
        <f>I17*J3</f>
        <v>31732.410260712557</v>
      </c>
    </row>
    <row r="18" spans="1:11" ht="18.75">
      <c r="A18" s="576"/>
      <c r="B18" s="232" t="s">
        <v>189</v>
      </c>
      <c r="C18" s="281">
        <f>0.1/8</f>
        <v>1.2500000000000001E-2</v>
      </c>
      <c r="D18" s="282"/>
      <c r="E18" s="284" t="s">
        <v>195</v>
      </c>
      <c r="F18" s="783"/>
      <c r="G18" s="314" t="s">
        <v>204</v>
      </c>
      <c r="H18" s="315"/>
      <c r="I18" s="805">
        <f>D29+0.01</f>
        <v>2.92</v>
      </c>
      <c r="J18" s="316">
        <f>I18*J3</f>
        <v>8526.4</v>
      </c>
    </row>
    <row r="19" spans="1:11" ht="15.75" customHeight="1" thickBot="1">
      <c r="A19" s="576"/>
      <c r="B19" s="232" t="s">
        <v>283</v>
      </c>
      <c r="C19" s="281">
        <v>0.15</v>
      </c>
      <c r="D19" s="282"/>
      <c r="E19" s="284" t="s">
        <v>195</v>
      </c>
      <c r="F19" s="782"/>
      <c r="G19" s="784" t="s">
        <v>207</v>
      </c>
      <c r="H19" s="785"/>
      <c r="I19" s="1205"/>
      <c r="J19" s="786">
        <f>SUM(J15:J18)</f>
        <v>242085.77094732583</v>
      </c>
    </row>
    <row r="20" spans="1:11" ht="18.75">
      <c r="A20" s="576"/>
      <c r="B20" s="232" t="s">
        <v>285</v>
      </c>
      <c r="C20" s="281">
        <v>0.5</v>
      </c>
      <c r="D20" s="282"/>
      <c r="E20" s="284" t="s">
        <v>195</v>
      </c>
      <c r="F20" s="782"/>
      <c r="G20" s="314" t="str">
        <f>E30</f>
        <v>Prospective period FY21 &amp; FY22</v>
      </c>
      <c r="H20" s="332"/>
      <c r="I20" s="609">
        <f>D30</f>
        <v>1.78E-2</v>
      </c>
      <c r="J20" s="318">
        <f>((J19*(I20+1)-(J13*I20+1)))</f>
        <v>243465.53126961627</v>
      </c>
    </row>
    <row r="21" spans="1:11" ht="15.75" customHeight="1" thickBot="1">
      <c r="A21" s="576"/>
      <c r="B21" s="264" t="s">
        <v>248</v>
      </c>
      <c r="C21" s="308">
        <v>0.1</v>
      </c>
      <c r="D21" s="309"/>
      <c r="E21" s="311" t="s">
        <v>195</v>
      </c>
      <c r="F21" s="782"/>
      <c r="G21" s="339" t="s">
        <v>210</v>
      </c>
      <c r="H21" s="340"/>
      <c r="I21" s="340"/>
      <c r="J21" s="341">
        <f>J20/J3</f>
        <v>83.378606599183655</v>
      </c>
    </row>
    <row r="22" spans="1:11" ht="18.75">
      <c r="A22" s="576"/>
      <c r="B22" s="1284" t="s">
        <v>201</v>
      </c>
      <c r="C22" s="1285"/>
      <c r="D22" s="1286"/>
      <c r="E22" s="277"/>
      <c r="F22" s="787"/>
      <c r="G22" s="788"/>
      <c r="H22" s="224"/>
      <c r="I22" s="224"/>
      <c r="J22" s="789"/>
      <c r="K22" s="220"/>
    </row>
    <row r="23" spans="1:11" ht="15.75" customHeight="1">
      <c r="A23" s="576"/>
      <c r="B23" s="232" t="s">
        <v>48</v>
      </c>
      <c r="C23" s="320"/>
      <c r="D23" s="616">
        <f>'[11]IFC- Acute-Adult Srvs -Rebased'!E20</f>
        <v>0.22309999999999999</v>
      </c>
      <c r="E23" s="322" t="str">
        <f>[11]Chart!E30</f>
        <v>Benchmarked to FY20 Commonwealth (office of the Comptroller) T&amp;F rate, less terminal leave, retirement and Paid Family Medical Leave tax</v>
      </c>
      <c r="F23" s="790"/>
      <c r="G23" s="788"/>
      <c r="H23" s="224"/>
      <c r="I23" s="224"/>
      <c r="J23" s="791"/>
    </row>
    <row r="24" spans="1:11" ht="18">
      <c r="A24" s="576"/>
      <c r="B24" s="232" t="s">
        <v>205</v>
      </c>
      <c r="C24" s="574"/>
      <c r="D24" s="809">
        <f>10*(3.93%+1)*(2.64386%+1)*(1.87%+1)</f>
        <v>10.86726378791526</v>
      </c>
      <c r="E24" s="531"/>
      <c r="F24" s="792"/>
      <c r="G24" s="793"/>
      <c r="H24" s="737"/>
      <c r="I24" s="737"/>
      <c r="J24" s="737"/>
    </row>
    <row r="25" spans="1:11" ht="36.75">
      <c r="A25" s="576"/>
      <c r="B25" s="335" t="s">
        <v>209</v>
      </c>
      <c r="C25" s="336"/>
      <c r="D25" s="533">
        <v>3.9300000000000002E-2</v>
      </c>
      <c r="E25" s="534"/>
      <c r="F25" s="792"/>
      <c r="G25" s="424"/>
      <c r="H25" s="741" t="s">
        <v>217</v>
      </c>
      <c r="I25" s="794" t="s">
        <v>218</v>
      </c>
      <c r="J25" s="622"/>
    </row>
    <row r="26" spans="1:11" ht="18.75">
      <c r="A26" s="576"/>
      <c r="B26" s="335" t="s">
        <v>211</v>
      </c>
      <c r="C26" s="336"/>
      <c r="D26" s="533">
        <v>4.5999999999999999E-2</v>
      </c>
      <c r="E26" s="534"/>
      <c r="F26" s="795"/>
      <c r="G26" s="629" t="s">
        <v>254</v>
      </c>
      <c r="H26" s="386">
        <v>25.16</v>
      </c>
      <c r="I26" s="387">
        <f>D38</f>
        <v>27.02</v>
      </c>
      <c r="J26" s="630"/>
    </row>
    <row r="27" spans="1:11" ht="18.75">
      <c r="A27" s="576"/>
      <c r="B27" s="335" t="s">
        <v>212</v>
      </c>
      <c r="C27" s="336"/>
      <c r="D27" s="533">
        <v>2.6438643292682744E-2</v>
      </c>
      <c r="E27" s="540"/>
      <c r="F27" s="792"/>
      <c r="G27" s="629" t="s">
        <v>226</v>
      </c>
      <c r="H27" s="386">
        <v>42.75</v>
      </c>
      <c r="I27" s="396">
        <f>H27*(D30+1)</f>
        <v>43.510950000000001</v>
      </c>
      <c r="J27" s="630"/>
    </row>
    <row r="28" spans="1:11" ht="19.5" thickBot="1">
      <c r="A28" s="576"/>
      <c r="B28" s="335" t="s">
        <v>213</v>
      </c>
      <c r="C28" s="336"/>
      <c r="D28" s="533">
        <v>1.8700000000000001E-2</v>
      </c>
      <c r="E28" s="534"/>
      <c r="F28" s="796"/>
      <c r="G28" s="639"/>
      <c r="H28" s="417">
        <v>58</v>
      </c>
      <c r="I28" s="797">
        <f>SUM(I26:I27)</f>
        <v>70.530950000000004</v>
      </c>
      <c r="J28" s="630"/>
    </row>
    <row r="29" spans="1:11" ht="31.5">
      <c r="A29" s="576"/>
      <c r="B29" s="366" t="s">
        <v>215</v>
      </c>
      <c r="C29" s="367"/>
      <c r="D29" s="546">
        <v>2.91</v>
      </c>
      <c r="E29" s="534" t="s">
        <v>216</v>
      </c>
      <c r="F29" s="798"/>
      <c r="G29" s="731"/>
      <c r="H29" s="731"/>
      <c r="I29" s="731"/>
      <c r="J29" s="799"/>
    </row>
    <row r="30" spans="1:11" ht="15.75">
      <c r="A30" s="576"/>
      <c r="B30" s="551" t="s">
        <v>220</v>
      </c>
      <c r="C30" s="552"/>
      <c r="D30" s="1168">
        <f>[11]Chart!C32</f>
        <v>1.78E-2</v>
      </c>
      <c r="E30" s="800" t="str">
        <f>[11]Chart!E32</f>
        <v>Prospective period FY21 &amp; FY22</v>
      </c>
      <c r="F30" s="798"/>
    </row>
    <row r="31" spans="1:11" ht="16.5" thickBot="1">
      <c r="A31" s="576"/>
      <c r="B31" s="556" t="s">
        <v>221</v>
      </c>
      <c r="C31" s="557"/>
      <c r="D31" s="1169">
        <f>[11]Chart!C31</f>
        <v>3.7000000000000002E-3</v>
      </c>
      <c r="E31" s="558" t="s">
        <v>222</v>
      </c>
      <c r="F31" s="801"/>
    </row>
    <row r="32" spans="1:11" ht="36.75" hidden="1" thickBot="1">
      <c r="A32" s="576"/>
      <c r="B32" s="526"/>
      <c r="C32" s="526"/>
      <c r="D32" s="526"/>
      <c r="E32" s="802"/>
      <c r="F32" s="801"/>
      <c r="G32" s="651" t="s">
        <v>287</v>
      </c>
      <c r="H32" s="652" t="s">
        <v>59</v>
      </c>
      <c r="I32" s="652" t="s">
        <v>230</v>
      </c>
      <c r="J32" s="655"/>
    </row>
    <row r="33" spans="1:10" ht="24.75" hidden="1" customHeight="1">
      <c r="A33" s="576"/>
      <c r="B33" s="783"/>
      <c r="C33" s="783"/>
      <c r="D33" s="783"/>
      <c r="E33" s="783"/>
      <c r="F33"/>
      <c r="G33" s="767" t="s">
        <v>256</v>
      </c>
      <c r="H33" s="663">
        <v>79.55</v>
      </c>
      <c r="I33" s="664">
        <f>H33*(D30+1)</f>
        <v>80.965990000000005</v>
      </c>
      <c r="J33" s="665"/>
    </row>
    <row r="34" spans="1:10" ht="23.25" hidden="1" customHeight="1">
      <c r="A34" s="576"/>
      <c r="B34" s="783"/>
      <c r="C34" s="783"/>
      <c r="D34" s="783"/>
      <c r="E34" s="783"/>
      <c r="F34"/>
      <c r="G34" s="767" t="s">
        <v>257</v>
      </c>
      <c r="H34" s="670">
        <v>42.75</v>
      </c>
      <c r="I34" s="670">
        <f>H34*(D30+1)</f>
        <v>43.510950000000001</v>
      </c>
      <c r="J34" s="665"/>
    </row>
    <row r="35" spans="1:10" ht="29.45" hidden="1" customHeight="1">
      <c r="A35" s="576"/>
      <c r="B35" s="179"/>
      <c r="C35" s="179"/>
      <c r="D35" s="179"/>
      <c r="E35"/>
      <c r="F35"/>
      <c r="G35" s="770" t="s">
        <v>65</v>
      </c>
      <c r="H35" s="673">
        <f>SUM(H33:H34)</f>
        <v>122.3</v>
      </c>
      <c r="I35" s="673">
        <f>SUM(I33:I34)</f>
        <v>124.47694000000001</v>
      </c>
      <c r="J35" s="675">
        <f>(I35-H35)/H35</f>
        <v>1.7800000000000132E-2</v>
      </c>
    </row>
    <row r="36" spans="1:10" ht="30.75" hidden="1" customHeight="1">
      <c r="A36" s="576"/>
      <c r="B36" s="179"/>
      <c r="C36" s="179"/>
      <c r="D36" s="179"/>
      <c r="E36"/>
      <c r="G36" s="802"/>
    </row>
    <row r="37" spans="1:10" ht="16.5" customHeight="1" thickBot="1">
      <c r="A37" s="576"/>
      <c r="B37" s="390" t="s">
        <v>224</v>
      </c>
      <c r="C37" s="391"/>
      <c r="D37" s="393">
        <v>25.16</v>
      </c>
      <c r="E37" s="394" t="s">
        <v>195</v>
      </c>
      <c r="F37" s="783"/>
    </row>
    <row r="38" spans="1:10" ht="16.5" thickBot="1">
      <c r="A38" s="576"/>
      <c r="B38" s="390" t="s">
        <v>227</v>
      </c>
      <c r="C38" s="391"/>
      <c r="D38" s="393">
        <v>27.02</v>
      </c>
      <c r="E38" s="394" t="s">
        <v>195</v>
      </c>
      <c r="F38" s="783"/>
    </row>
    <row r="39" spans="1:10" ht="15">
      <c r="A39" s="576"/>
      <c r="B39"/>
      <c r="C39"/>
      <c r="D39"/>
      <c r="E39"/>
      <c r="G39"/>
    </row>
    <row r="40" spans="1:10" ht="15">
      <c r="A40" s="576"/>
      <c r="F40"/>
      <c r="G40"/>
    </row>
    <row r="41" spans="1:10" ht="15">
      <c r="A41" s="576"/>
      <c r="G41"/>
    </row>
    <row r="42" spans="1:10" ht="15">
      <c r="A42" s="576"/>
      <c r="G42"/>
    </row>
    <row r="43" spans="1:10" ht="15">
      <c r="A43" s="576"/>
      <c r="G43"/>
    </row>
    <row r="44" spans="1:10" ht="15">
      <c r="A44" s="576"/>
      <c r="B44"/>
      <c r="C44"/>
      <c r="D44"/>
      <c r="E44"/>
      <c r="G44"/>
    </row>
    <row r="45" spans="1:10" ht="15">
      <c r="A45" s="576"/>
      <c r="F45"/>
      <c r="G45"/>
    </row>
    <row r="46" spans="1:10" ht="15">
      <c r="A46" s="576"/>
      <c r="F46"/>
      <c r="G46"/>
    </row>
    <row r="47" spans="1:10" ht="15">
      <c r="A47" s="576"/>
      <c r="F47"/>
      <c r="G47"/>
    </row>
    <row r="48" spans="1:10" ht="15">
      <c r="F48"/>
      <c r="G48"/>
    </row>
    <row r="49" spans="1:7" ht="15">
      <c r="B49"/>
      <c r="C49"/>
      <c r="D49"/>
      <c r="E49"/>
      <c r="F49"/>
    </row>
    <row r="50" spans="1:7" ht="15">
      <c r="B50"/>
      <c r="C50"/>
      <c r="D50"/>
      <c r="E50"/>
      <c r="F50"/>
    </row>
    <row r="51" spans="1:7" ht="35.25" customHeight="1">
      <c r="B51"/>
      <c r="C51"/>
      <c r="D51"/>
      <c r="E51"/>
      <c r="F51"/>
    </row>
    <row r="52" spans="1:7" ht="15">
      <c r="A52" s="576"/>
      <c r="B52"/>
      <c r="C52"/>
      <c r="D52"/>
      <c r="E52"/>
      <c r="F52"/>
    </row>
    <row r="53" spans="1:7" ht="15">
      <c r="A53" s="576"/>
      <c r="B53"/>
      <c r="C53"/>
      <c r="D53"/>
      <c r="E53"/>
      <c r="F53"/>
      <c r="G53"/>
    </row>
    <row r="54" spans="1:7" ht="15">
      <c r="A54" s="576"/>
      <c r="B54"/>
      <c r="C54"/>
      <c r="D54"/>
      <c r="E54"/>
      <c r="F54"/>
      <c r="G54"/>
    </row>
    <row r="55" spans="1:7" ht="15">
      <c r="A55" s="576"/>
      <c r="B55"/>
      <c r="C55"/>
      <c r="D55"/>
      <c r="E55"/>
      <c r="F55"/>
      <c r="G55"/>
    </row>
    <row r="56" spans="1:7" ht="15">
      <c r="A56" s="576"/>
      <c r="B56"/>
      <c r="C56"/>
      <c r="D56"/>
      <c r="E56"/>
      <c r="F56"/>
      <c r="G56"/>
    </row>
    <row r="57" spans="1:7" ht="15">
      <c r="A57" s="576"/>
      <c r="B57"/>
      <c r="C57"/>
      <c r="D57"/>
      <c r="E57"/>
      <c r="F57"/>
      <c r="G57"/>
    </row>
    <row r="58" spans="1:7" ht="15">
      <c r="A58" s="576"/>
      <c r="B58"/>
      <c r="C58"/>
      <c r="D58"/>
      <c r="E58"/>
      <c r="F58"/>
    </row>
    <row r="59" spans="1:7" ht="15">
      <c r="A59" s="576"/>
      <c r="B59"/>
      <c r="C59"/>
      <c r="D59"/>
      <c r="E59"/>
      <c r="F59"/>
    </row>
    <row r="60" spans="1:7" ht="15">
      <c r="A60" s="576"/>
      <c r="B60"/>
      <c r="C60"/>
      <c r="D60"/>
      <c r="E60"/>
      <c r="F60"/>
    </row>
    <row r="61" spans="1:7" ht="15">
      <c r="A61" s="576"/>
      <c r="B61"/>
      <c r="C61"/>
      <c r="D61"/>
      <c r="E61"/>
      <c r="F61"/>
    </row>
    <row r="62" spans="1:7" ht="15">
      <c r="A62" s="576"/>
      <c r="B62"/>
      <c r="C62"/>
      <c r="D62"/>
      <c r="E62"/>
      <c r="F62"/>
    </row>
    <row r="63" spans="1:7" ht="15">
      <c r="A63" s="576"/>
      <c r="B63"/>
      <c r="C63"/>
      <c r="D63"/>
      <c r="E63"/>
      <c r="F63"/>
    </row>
    <row r="64" spans="1:7" ht="15">
      <c r="A64" s="576">
        <v>1</v>
      </c>
      <c r="B64"/>
      <c r="C64"/>
      <c r="D64"/>
      <c r="E64"/>
      <c r="F64"/>
    </row>
    <row r="65" spans="1:6" ht="15">
      <c r="A65" s="576"/>
      <c r="B65"/>
      <c r="C65"/>
      <c r="D65"/>
      <c r="E65"/>
      <c r="F65"/>
    </row>
    <row r="66" spans="1:6" ht="15">
      <c r="A66" s="576"/>
      <c r="B66"/>
      <c r="C66"/>
      <c r="D66"/>
      <c r="E66"/>
      <c r="F66"/>
    </row>
    <row r="67" spans="1:6" ht="15">
      <c r="A67" s="576"/>
      <c r="B67"/>
      <c r="C67"/>
      <c r="D67"/>
      <c r="E67"/>
      <c r="F67"/>
    </row>
    <row r="68" spans="1:6" ht="15">
      <c r="A68" s="576"/>
      <c r="B68"/>
      <c r="C68"/>
      <c r="D68"/>
      <c r="E68"/>
      <c r="F68"/>
    </row>
    <row r="69" spans="1:6" ht="15">
      <c r="A69" s="576"/>
      <c r="B69"/>
      <c r="C69"/>
      <c r="D69"/>
      <c r="E69"/>
      <c r="F69"/>
    </row>
    <row r="70" spans="1:6" ht="15">
      <c r="A70" s="576"/>
      <c r="B70"/>
      <c r="C70"/>
      <c r="D70"/>
      <c r="E70"/>
    </row>
    <row r="71" spans="1:6" ht="15">
      <c r="A71" s="576"/>
      <c r="B71"/>
      <c r="C71"/>
      <c r="D71"/>
      <c r="E71"/>
    </row>
    <row r="72" spans="1:6" ht="15">
      <c r="A72" s="576"/>
      <c r="B72"/>
      <c r="C72"/>
      <c r="D72"/>
      <c r="E72"/>
    </row>
    <row r="73" spans="1:6" ht="15" customHeight="1">
      <c r="A73" s="576"/>
      <c r="B73"/>
      <c r="C73"/>
      <c r="D73"/>
      <c r="E73"/>
    </row>
    <row r="74" spans="1:6">
      <c r="A74" s="576"/>
    </row>
    <row r="75" spans="1:6">
      <c r="A75" s="576"/>
    </row>
    <row r="76" spans="1:6">
      <c r="A76" s="576"/>
    </row>
    <row r="77" spans="1:6">
      <c r="A77" s="576"/>
    </row>
    <row r="78" spans="1:6">
      <c r="A78" s="576"/>
    </row>
    <row r="79" spans="1:6">
      <c r="A79" s="576"/>
    </row>
    <row r="80" spans="1:6">
      <c r="A80" s="576"/>
    </row>
    <row r="81" spans="1:1">
      <c r="A81" s="576"/>
    </row>
    <row r="82" spans="1:1">
      <c r="A82" s="576"/>
    </row>
    <row r="83" spans="1:1">
      <c r="A83" s="576"/>
    </row>
    <row r="84" spans="1:1">
      <c r="A84" s="576"/>
    </row>
    <row r="85" spans="1:1">
      <c r="A85" s="576"/>
    </row>
    <row r="86" spans="1:1">
      <c r="A86" s="576"/>
    </row>
    <row r="87" spans="1:1">
      <c r="A87" s="576"/>
    </row>
    <row r="88" spans="1:1">
      <c r="A88" s="576"/>
    </row>
    <row r="89" spans="1:1">
      <c r="A89" s="576"/>
    </row>
    <row r="90" spans="1:1">
      <c r="A90" s="576"/>
    </row>
    <row r="91" spans="1:1">
      <c r="A91" s="576"/>
    </row>
    <row r="92" spans="1:1">
      <c r="A92" s="576"/>
    </row>
    <row r="93" spans="1:1">
      <c r="A93" s="576"/>
    </row>
    <row r="94" spans="1:1">
      <c r="A94" s="576"/>
    </row>
    <row r="95" spans="1:1">
      <c r="A95" s="576"/>
    </row>
    <row r="96" spans="1:1">
      <c r="A96" s="576"/>
    </row>
    <row r="97" spans="1:1">
      <c r="A97" s="576"/>
    </row>
    <row r="98" spans="1:1">
      <c r="A98" s="576"/>
    </row>
    <row r="121" spans="2:7">
      <c r="F121" s="476"/>
    </row>
    <row r="124" spans="2:7">
      <c r="G124" s="476"/>
    </row>
    <row r="125" spans="2:7">
      <c r="B125" s="476"/>
      <c r="C125" s="476"/>
      <c r="D125" s="476"/>
      <c r="E125" s="476"/>
    </row>
  </sheetData>
  <mergeCells count="5">
    <mergeCell ref="B2:E2"/>
    <mergeCell ref="G2:J2"/>
    <mergeCell ref="B3:D3"/>
    <mergeCell ref="B12:D12"/>
    <mergeCell ref="B22:D22"/>
  </mergeCells>
  <pageMargins left="0.25" right="0.25" top="0.5" bottom="0.5" header="0.3" footer="0.3"/>
  <pageSetup scale="89" orientation="landscape" cellComments="asDisplayed" r:id="rId1"/>
  <headerFooter alignWithMargins="0"/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7" zoomScale="70" zoomScaleNormal="70" zoomScaleSheetLayoutView="50" workbookViewId="0">
      <selection activeCell="E27" sqref="E27"/>
    </sheetView>
  </sheetViews>
  <sheetFormatPr defaultColWidth="9.140625" defaultRowHeight="12.75"/>
  <cols>
    <col min="1" max="1" width="14.42578125" style="222" customWidth="1"/>
    <col min="2" max="2" width="34.42578125" style="222" customWidth="1"/>
    <col min="3" max="3" width="11" style="222" bestFit="1" customWidth="1"/>
    <col min="4" max="4" width="16.42578125" style="222" bestFit="1" customWidth="1"/>
    <col min="5" max="5" width="50.85546875" style="222" customWidth="1"/>
    <col min="6" max="6" width="18.28515625" style="222" customWidth="1"/>
    <col min="7" max="7" width="37.7109375" style="222" customWidth="1"/>
    <col min="8" max="8" width="11.7109375" style="222" customWidth="1"/>
    <col min="9" max="9" width="16.85546875" style="222" bestFit="1" customWidth="1"/>
    <col min="10" max="10" width="16.28515625" style="222" customWidth="1"/>
    <col min="11" max="11" width="27.140625" style="222" customWidth="1"/>
    <col min="12" max="12" width="16.5703125" style="222" bestFit="1" customWidth="1"/>
    <col min="13" max="13" width="14.140625" style="222" customWidth="1"/>
    <col min="14" max="14" width="13.85546875" style="222" customWidth="1"/>
    <col min="15" max="15" width="16.28515625" style="222" customWidth="1"/>
    <col min="16" max="16" width="4.85546875" style="222" customWidth="1"/>
    <col min="17" max="17" width="22.85546875" style="222" customWidth="1"/>
    <col min="18" max="18" width="16.5703125" style="222" bestFit="1" customWidth="1"/>
    <col min="19" max="19" width="18.85546875" style="222" customWidth="1"/>
    <col min="20" max="20" width="17.140625" style="222" customWidth="1"/>
    <col min="21" max="21" width="15.5703125" style="222" customWidth="1"/>
    <col min="22" max="22" width="10.140625" style="222" customWidth="1"/>
    <col min="23" max="23" width="44.140625" style="222" customWidth="1"/>
    <col min="24" max="24" width="16.85546875" style="222" customWidth="1"/>
    <col min="25" max="25" width="15.42578125" style="222" customWidth="1"/>
    <col min="26" max="26" width="12.85546875" style="222" customWidth="1"/>
    <col min="27" max="27" width="15.7109375" style="222" customWidth="1"/>
    <col min="28" max="28" width="8.140625" style="222" customWidth="1"/>
    <col min="29" max="29" width="14.28515625" style="222" customWidth="1"/>
    <col min="30" max="30" width="27.85546875" style="222" customWidth="1"/>
    <col min="31" max="31" width="16.140625" style="222" customWidth="1"/>
    <col min="32" max="32" width="12.28515625" style="222" customWidth="1"/>
    <col min="33" max="33" width="19.85546875" style="222" customWidth="1"/>
    <col min="34" max="34" width="19.7109375" style="222" customWidth="1"/>
    <col min="35" max="35" width="9.85546875" style="222" customWidth="1"/>
    <col min="36" max="36" width="9.140625" style="222" customWidth="1"/>
    <col min="37" max="37" width="33" style="222" customWidth="1"/>
    <col min="38" max="38" width="16.28515625" style="222" customWidth="1"/>
    <col min="39" max="39" width="16.85546875" style="222" customWidth="1"/>
    <col min="40" max="40" width="17.42578125" style="222" customWidth="1"/>
    <col min="41" max="41" width="17.5703125" style="222" customWidth="1"/>
    <col min="42" max="42" width="15.28515625" style="222" customWidth="1"/>
    <col min="43" max="43" width="9.140625" style="222" customWidth="1"/>
    <col min="44" max="44" width="13.85546875" style="222" customWidth="1"/>
    <col min="45" max="47" width="9.140625" style="222" customWidth="1"/>
    <col min="48" max="48" width="20.7109375" style="222" customWidth="1"/>
    <col min="49" max="49" width="9.140625" style="222" customWidth="1"/>
    <col min="50" max="50" width="10.7109375" style="222" customWidth="1"/>
    <col min="51" max="51" width="9.140625" style="222" customWidth="1"/>
    <col min="52" max="52" width="21" style="222" customWidth="1"/>
    <col min="53" max="53" width="14.7109375" style="222" customWidth="1"/>
    <col min="54" max="54" width="14.85546875" style="222" customWidth="1"/>
    <col min="55" max="55" width="13.85546875" style="222" customWidth="1"/>
    <col min="56" max="56" width="15.7109375" style="222" customWidth="1"/>
    <col min="57" max="59" width="9.140625" style="222" customWidth="1"/>
    <col min="60" max="60" width="14.7109375" style="222" customWidth="1"/>
    <col min="61" max="61" width="9.140625" style="222" customWidth="1"/>
    <col min="62" max="62" width="13.7109375" style="222" customWidth="1"/>
    <col min="63" max="63" width="21.42578125" style="222" customWidth="1"/>
    <col min="64" max="64" width="9.140625" style="222" customWidth="1"/>
    <col min="65" max="65" width="18.7109375" style="222" customWidth="1"/>
    <col min="66" max="66" width="9.140625" style="222" customWidth="1"/>
    <col min="67" max="67" width="23" style="222" customWidth="1"/>
    <col min="68" max="68" width="17.42578125" style="222" customWidth="1"/>
    <col min="69" max="69" width="15.42578125" style="222" customWidth="1"/>
    <col min="70" max="70" width="15" style="222" customWidth="1"/>
    <col min="71" max="71" width="16.42578125" style="222" customWidth="1"/>
    <col min="72" max="72" width="9.140625" style="222" customWidth="1"/>
    <col min="73" max="73" width="25.42578125" style="222" customWidth="1"/>
    <col min="74" max="74" width="15.85546875" style="222" customWidth="1"/>
    <col min="75" max="75" width="17.5703125" style="222" customWidth="1"/>
    <col min="76" max="77" width="15.7109375" style="222" customWidth="1"/>
    <col min="78" max="16384" width="9.140625" style="222"/>
  </cols>
  <sheetData>
    <row r="1" spans="1:10" ht="15.75" customHeight="1" thickBot="1">
      <c r="A1" s="576"/>
      <c r="B1" s="560"/>
      <c r="C1" s="560"/>
      <c r="D1" s="560"/>
      <c r="E1" s="560"/>
      <c r="F1" s="560"/>
    </row>
    <row r="2" spans="1:10" ht="22.5" customHeight="1" thickBot="1">
      <c r="A2" s="576"/>
      <c r="B2" s="1274" t="s">
        <v>170</v>
      </c>
      <c r="C2" s="1275"/>
      <c r="D2" s="1275"/>
      <c r="E2" s="1276"/>
      <c r="F2" s="773"/>
      <c r="G2" s="1340" t="s">
        <v>288</v>
      </c>
      <c r="H2" s="1341"/>
      <c r="I2" s="1341"/>
      <c r="J2" s="1342"/>
    </row>
    <row r="3" spans="1:10" ht="18.75">
      <c r="A3" s="576"/>
      <c r="B3" s="1278" t="s">
        <v>171</v>
      </c>
      <c r="C3" s="1279"/>
      <c r="D3" s="1280"/>
      <c r="E3" s="227" t="s">
        <v>173</v>
      </c>
      <c r="F3" s="774"/>
      <c r="G3" s="237" t="s">
        <v>179</v>
      </c>
      <c r="H3" s="238">
        <v>4</v>
      </c>
      <c r="I3" s="239" t="s">
        <v>180</v>
      </c>
      <c r="J3" s="240">
        <f>H3*365</f>
        <v>1460</v>
      </c>
    </row>
    <row r="4" spans="1:10" ht="51" customHeight="1">
      <c r="A4" s="576"/>
      <c r="B4" s="232" t="s">
        <v>177</v>
      </c>
      <c r="C4" s="233">
        <f>'[11]IFC- Transition to Adult Rebase'!D4</f>
        <v>43971.200000000004</v>
      </c>
      <c r="D4" s="777"/>
      <c r="E4" s="235" t="str">
        <f>'[15]IFC- Acute-Adult Srvs -Rebased'!F9</f>
        <v>11/1/19: Benchmark to BLS Caseworker: Minimum education = BA or 8 years related experience</v>
      </c>
      <c r="F4" s="671"/>
      <c r="G4" s="249" t="s">
        <v>1</v>
      </c>
      <c r="H4" s="250" t="s">
        <v>183</v>
      </c>
      <c r="I4" s="250" t="s">
        <v>184</v>
      </c>
      <c r="J4" s="251" t="s">
        <v>185</v>
      </c>
    </row>
    <row r="5" spans="1:10" ht="42.6" customHeight="1">
      <c r="A5" s="576"/>
      <c r="B5" s="232" t="s">
        <v>181</v>
      </c>
      <c r="C5" s="233">
        <f>'[11]IFC- Transition to Adult Rebase'!D5</f>
        <v>41517</v>
      </c>
      <c r="D5" s="777"/>
      <c r="E5" s="775" t="str">
        <f>'[15]IFC- Transition to Adult Rebase'!E5</f>
        <v>11/1/19: Benchmark to Direct Care III: Minimum education = BA or 5+ years related experience</v>
      </c>
      <c r="F5" s="671"/>
      <c r="G5" s="257" t="s">
        <v>177</v>
      </c>
      <c r="H5" s="1126">
        <f t="shared" ref="H5:H9" si="0">C4</f>
        <v>43971.200000000004</v>
      </c>
      <c r="I5" s="258">
        <f t="shared" ref="I5:I9" si="1">C11</f>
        <v>0.17</v>
      </c>
      <c r="J5" s="259">
        <f>I5*H5</f>
        <v>7475.1040000000012</v>
      </c>
    </row>
    <row r="6" spans="1:10" ht="42.6" customHeight="1">
      <c r="A6" s="576"/>
      <c r="B6" s="255" t="s">
        <v>289</v>
      </c>
      <c r="C6" s="233">
        <f>[11]Chart!C12</f>
        <v>52665.599999999999</v>
      </c>
      <c r="D6" s="777"/>
      <c r="E6" s="235" t="s">
        <v>178</v>
      </c>
      <c r="F6" s="774"/>
      <c r="G6" s="257" t="s">
        <v>181</v>
      </c>
      <c r="H6" s="1126">
        <f t="shared" si="0"/>
        <v>41517</v>
      </c>
      <c r="I6" s="258">
        <f t="shared" si="1"/>
        <v>0.3</v>
      </c>
      <c r="J6" s="259">
        <f>I6*H6</f>
        <v>12455.1</v>
      </c>
    </row>
    <row r="7" spans="1:10" ht="42.6" customHeight="1">
      <c r="A7" s="576"/>
      <c r="B7" s="232" t="s">
        <v>187</v>
      </c>
      <c r="C7" s="233">
        <f>'[11]IFC- Transition to Adult Rebase'!D7</f>
        <v>32198.400000000001</v>
      </c>
      <c r="D7" s="803"/>
      <c r="E7" s="775" t="str">
        <f>'[15]IFC- Transition to Adult Rebase'!E7</f>
        <v xml:space="preserve">11/1/19: Benchmark to Direct Care : Minimum education = HS Diploma / GED / Associates </v>
      </c>
      <c r="F7" s="776"/>
      <c r="G7" s="269" t="s">
        <v>247</v>
      </c>
      <c r="H7" s="1126">
        <f t="shared" si="0"/>
        <v>52665.599999999999</v>
      </c>
      <c r="I7" s="258">
        <f t="shared" si="1"/>
        <v>3</v>
      </c>
      <c r="J7" s="259">
        <f>I7*H7</f>
        <v>157996.79999999999</v>
      </c>
    </row>
    <row r="8" spans="1:10" ht="42.6" customHeight="1">
      <c r="A8" s="576"/>
      <c r="B8" s="232" t="s">
        <v>189</v>
      </c>
      <c r="C8" s="233">
        <f>52305*(3.93%+1)*(1.87%+1)*(2.64386%+1)</f>
        <v>56841.223242690765</v>
      </c>
      <c r="D8" s="234"/>
      <c r="E8" s="507" t="s">
        <v>190</v>
      </c>
      <c r="F8" s="778"/>
      <c r="G8" s="257" t="s">
        <v>187</v>
      </c>
      <c r="H8" s="1126">
        <f t="shared" si="0"/>
        <v>32198.400000000001</v>
      </c>
      <c r="I8" s="779">
        <f t="shared" si="1"/>
        <v>0.17</v>
      </c>
      <c r="J8" s="259">
        <f>I8*H8</f>
        <v>5473.728000000001</v>
      </c>
    </row>
    <row r="9" spans="1:10" ht="42.6" customHeight="1" thickBot="1">
      <c r="A9" s="576"/>
      <c r="B9" s="1284" t="s">
        <v>191</v>
      </c>
      <c r="C9" s="1285"/>
      <c r="D9" s="1286"/>
      <c r="E9" s="271"/>
      <c r="F9" s="778"/>
      <c r="G9" s="257" t="s">
        <v>189</v>
      </c>
      <c r="H9" s="280">
        <f t="shared" si="0"/>
        <v>56841.223242690765</v>
      </c>
      <c r="I9" s="779">
        <f t="shared" si="1"/>
        <v>0.1</v>
      </c>
      <c r="J9" s="259">
        <f>H9*I9</f>
        <v>5684.1223242690767</v>
      </c>
    </row>
    <row r="10" spans="1:10" ht="19.5" thickBot="1">
      <c r="A10" s="576"/>
      <c r="B10" s="273" t="s">
        <v>192</v>
      </c>
      <c r="C10" s="274" t="s">
        <v>193</v>
      </c>
      <c r="D10" s="275" t="s">
        <v>290</v>
      </c>
      <c r="E10" s="277"/>
      <c r="F10" s="778"/>
      <c r="G10" s="286" t="s">
        <v>196</v>
      </c>
      <c r="H10" s="287"/>
      <c r="I10" s="288">
        <f>SUM(I5:I9)</f>
        <v>3.7399999999999998</v>
      </c>
      <c r="J10" s="289">
        <f>SUM(J5:J9)</f>
        <v>189084.85432426908</v>
      </c>
    </row>
    <row r="11" spans="1:10" ht="18.75">
      <c r="A11" s="576"/>
      <c r="B11" s="232" t="s">
        <v>177</v>
      </c>
      <c r="C11" s="281">
        <v>0.17</v>
      </c>
      <c r="D11" s="282">
        <v>0.04</v>
      </c>
      <c r="E11" s="284" t="s">
        <v>195</v>
      </c>
      <c r="F11" s="778"/>
      <c r="G11" s="299" t="s">
        <v>199</v>
      </c>
      <c r="H11" s="300"/>
      <c r="I11" s="1140">
        <f>D19</f>
        <v>0.22309999999999999</v>
      </c>
      <c r="J11" s="1141">
        <f>J10*I11</f>
        <v>42184.83099974443</v>
      </c>
    </row>
    <row r="12" spans="1:10" ht="19.5" thickBot="1">
      <c r="A12" s="576"/>
      <c r="B12" s="232" t="s">
        <v>181</v>
      </c>
      <c r="C12" s="281">
        <v>0.3</v>
      </c>
      <c r="D12" s="292">
        <v>7.4999999999999997E-2</v>
      </c>
      <c r="E12" s="284" t="s">
        <v>197</v>
      </c>
      <c r="F12" s="667"/>
      <c r="G12" s="304" t="s">
        <v>200</v>
      </c>
      <c r="H12" s="305"/>
      <c r="I12" s="1143"/>
      <c r="J12" s="1144">
        <f>J10+J11</f>
        <v>231269.68532401352</v>
      </c>
    </row>
    <row r="13" spans="1:10" ht="19.5" thickTop="1">
      <c r="A13" s="576">
        <v>1</v>
      </c>
      <c r="B13" s="232" t="s">
        <v>186</v>
      </c>
      <c r="C13" s="281">
        <v>3</v>
      </c>
      <c r="D13" s="282">
        <v>1.35</v>
      </c>
      <c r="E13" s="284" t="s">
        <v>195</v>
      </c>
      <c r="F13" s="781"/>
      <c r="G13" s="295" t="str">
        <f>B28</f>
        <v>PFLMA Trust Contribution</v>
      </c>
      <c r="H13" s="597"/>
      <c r="I13" s="609">
        <f>D28</f>
        <v>3.7000000000000002E-3</v>
      </c>
      <c r="J13" s="1138">
        <f>I13*J10</f>
        <v>699.61396099979561</v>
      </c>
    </row>
    <row r="14" spans="1:10" ht="18.75">
      <c r="A14" s="576"/>
      <c r="B14" s="232" t="s">
        <v>187</v>
      </c>
      <c r="C14" s="281">
        <v>0.17</v>
      </c>
      <c r="D14" s="282">
        <v>0.04</v>
      </c>
      <c r="E14" s="284" t="s">
        <v>195</v>
      </c>
      <c r="F14" s="782"/>
      <c r="G14" s="314" t="s">
        <v>202</v>
      </c>
      <c r="H14" s="315"/>
      <c r="I14" s="805">
        <f>D20</f>
        <v>10.86726378791526</v>
      </c>
      <c r="J14" s="806">
        <f>I14*J3</f>
        <v>15866.205130356278</v>
      </c>
    </row>
    <row r="15" spans="1:10" ht="15.75" customHeight="1">
      <c r="A15" s="576"/>
      <c r="B15" s="232" t="s">
        <v>189</v>
      </c>
      <c r="C15" s="281">
        <v>0.1</v>
      </c>
      <c r="D15" s="282">
        <v>0.03</v>
      </c>
      <c r="E15" s="284" t="s">
        <v>195</v>
      </c>
      <c r="F15" s="782"/>
      <c r="G15" s="314" t="str">
        <f>B21</f>
        <v>Clinician Consultation</v>
      </c>
      <c r="H15" s="315"/>
      <c r="I15" s="805">
        <f>D21</f>
        <v>54.814478546244565</v>
      </c>
      <c r="J15" s="806">
        <f>I15*26</f>
        <v>1425.1764422023587</v>
      </c>
    </row>
    <row r="16" spans="1:10" ht="15.75" customHeight="1">
      <c r="A16" s="576"/>
      <c r="B16" s="232" t="s">
        <v>283</v>
      </c>
      <c r="C16" s="281">
        <v>0.16</v>
      </c>
      <c r="D16" s="282">
        <v>0.04</v>
      </c>
      <c r="E16" s="284" t="s">
        <v>195</v>
      </c>
      <c r="F16" s="783"/>
      <c r="G16" s="804" t="str">
        <f>B22</f>
        <v>Care Giver Respite (24 hours)</v>
      </c>
      <c r="H16" s="315"/>
      <c r="I16" s="805"/>
      <c r="J16" s="806">
        <f>D22</f>
        <v>1368</v>
      </c>
    </row>
    <row r="17" spans="1:11" ht="18.75">
      <c r="A17" s="576"/>
      <c r="B17" s="1284" t="s">
        <v>201</v>
      </c>
      <c r="C17" s="1285"/>
      <c r="D17" s="1286"/>
      <c r="E17" s="277"/>
      <c r="F17" s="783"/>
      <c r="G17" s="314" t="s">
        <v>204</v>
      </c>
      <c r="H17" s="608"/>
      <c r="I17" s="805">
        <f>D26</f>
        <v>2.91</v>
      </c>
      <c r="J17" s="806">
        <f>I17*J3</f>
        <v>4248.6000000000004</v>
      </c>
    </row>
    <row r="18" spans="1:11" ht="19.5" thickBot="1">
      <c r="A18" s="576"/>
      <c r="B18" s="807"/>
      <c r="C18" s="274" t="s">
        <v>291</v>
      </c>
      <c r="D18" s="275"/>
      <c r="E18" s="277"/>
      <c r="F18" s="783"/>
      <c r="G18" s="784" t="s">
        <v>207</v>
      </c>
      <c r="H18" s="785"/>
      <c r="I18" s="1205"/>
      <c r="J18" s="1212">
        <f>SUM(J12:J17)</f>
        <v>254877.28085757195</v>
      </c>
    </row>
    <row r="19" spans="1:11" ht="15.75" customHeight="1">
      <c r="A19" s="576"/>
      <c r="B19" s="232" t="s">
        <v>48</v>
      </c>
      <c r="C19" s="320"/>
      <c r="D19" s="616">
        <f>[11]Chart!C30</f>
        <v>0.22309999999999999</v>
      </c>
      <c r="E19" s="322" t="str">
        <f>[11]Chart!E30</f>
        <v>Benchmarked to FY20 Commonwealth (office of the Comptroller) T&amp;F rate, less terminal leave, retirement and Paid Family Medical Leave tax</v>
      </c>
      <c r="F19" s="782"/>
      <c r="G19" s="314" t="str">
        <f>E27</f>
        <v>Prospective period FY21 &amp; FY22</v>
      </c>
      <c r="H19" s="332"/>
      <c r="I19" s="609">
        <f>D27</f>
        <v>1.78E-2</v>
      </c>
      <c r="J19" s="1149">
        <f>J18*(I19+1)</f>
        <v>259414.09645683673</v>
      </c>
    </row>
    <row r="20" spans="1:11" ht="19.5" thickBot="1">
      <c r="A20" s="576"/>
      <c r="B20" s="232" t="s">
        <v>205</v>
      </c>
      <c r="C20" s="560"/>
      <c r="D20" s="809">
        <f>10*(3.93%+1)*(2.64386%+1)*(1.87%+1)</f>
        <v>10.86726378791526</v>
      </c>
      <c r="E20" s="1206"/>
      <c r="F20" s="782"/>
      <c r="G20" s="339" t="s">
        <v>210</v>
      </c>
      <c r="H20" s="340"/>
      <c r="I20" s="340"/>
      <c r="J20" s="341">
        <f>J19/J3</f>
        <v>177.68088798413476</v>
      </c>
    </row>
    <row r="21" spans="1:11" ht="15.75" customHeight="1">
      <c r="A21" s="576"/>
      <c r="B21" s="232" t="s">
        <v>292</v>
      </c>
      <c r="C21" s="808"/>
      <c r="D21" s="809">
        <f>50.44*(3.93%+1)*(2.64386%+1)*(1.87%+1)</f>
        <v>54.814478546244565</v>
      </c>
      <c r="E21" s="1206" t="s">
        <v>293</v>
      </c>
      <c r="F21" s="782"/>
      <c r="G21" s="788"/>
      <c r="H21" s="224"/>
      <c r="I21" s="224"/>
      <c r="J21" s="789"/>
      <c r="K21" s="220"/>
    </row>
    <row r="22" spans="1:11" ht="18.75">
      <c r="A22" s="576"/>
      <c r="B22" s="501" t="s">
        <v>294</v>
      </c>
      <c r="C22" s="810" t="s">
        <v>295</v>
      </c>
      <c r="D22" s="813">
        <f>14.25*24*4</f>
        <v>1368</v>
      </c>
      <c r="E22" s="1207" t="s">
        <v>296</v>
      </c>
      <c r="F22" s="787"/>
      <c r="G22" s="788"/>
      <c r="H22" s="224"/>
      <c r="I22" s="224"/>
      <c r="J22" s="811"/>
    </row>
    <row r="23" spans="1:11" ht="15.75" customHeight="1">
      <c r="A23" s="576"/>
      <c r="B23" s="812" t="s">
        <v>297</v>
      </c>
      <c r="C23" s="336"/>
      <c r="D23" s="813">
        <v>42.31</v>
      </c>
      <c r="E23" s="1207" t="s">
        <v>298</v>
      </c>
      <c r="F23" s="790"/>
      <c r="G23" s="814"/>
      <c r="H23" s="731"/>
      <c r="I23" s="731"/>
      <c r="J23" s="731"/>
    </row>
    <row r="24" spans="1:11" ht="15.75">
      <c r="A24" s="576"/>
      <c r="B24" s="335" t="s">
        <v>212</v>
      </c>
      <c r="C24" s="336"/>
      <c r="D24" s="533">
        <v>2.6438643292682744E-2</v>
      </c>
      <c r="E24" s="1208"/>
      <c r="F24" s="815"/>
      <c r="G24" s="44"/>
      <c r="H24" s="816"/>
      <c r="I24" s="817"/>
      <c r="J24" s="44"/>
    </row>
    <row r="25" spans="1:11" ht="15.75">
      <c r="A25" s="576"/>
      <c r="B25" s="335" t="s">
        <v>213</v>
      </c>
      <c r="C25" s="336"/>
      <c r="D25" s="533">
        <v>1.8700000000000001E-2</v>
      </c>
      <c r="E25" s="1207"/>
      <c r="F25" s="815"/>
      <c r="G25" s="44"/>
      <c r="H25" s="818"/>
      <c r="I25" s="819"/>
      <c r="J25" s="44"/>
    </row>
    <row r="26" spans="1:11" ht="31.5">
      <c r="A26" s="576"/>
      <c r="B26" s="366" t="s">
        <v>215</v>
      </c>
      <c r="C26" s="367"/>
      <c r="D26" s="546">
        <v>2.91</v>
      </c>
      <c r="E26" s="1209" t="s">
        <v>216</v>
      </c>
      <c r="F26" s="820"/>
      <c r="G26" s="44"/>
      <c r="H26" s="818"/>
      <c r="I26" s="819"/>
      <c r="J26" s="44"/>
    </row>
    <row r="27" spans="1:11" ht="15.75">
      <c r="A27" s="576"/>
      <c r="B27" s="551" t="s">
        <v>299</v>
      </c>
      <c r="C27" s="552"/>
      <c r="D27" s="1168">
        <f>[11]Chart!C32</f>
        <v>1.78E-2</v>
      </c>
      <c r="E27" s="1210" t="str">
        <f>[11]Chart!E32</f>
        <v>Prospective period FY21 &amp; FY22</v>
      </c>
      <c r="F27" s="815"/>
      <c r="G27" s="44"/>
      <c r="H27" s="821"/>
      <c r="I27" s="819"/>
      <c r="J27" s="44"/>
    </row>
    <row r="28" spans="1:11" ht="16.5" thickBot="1">
      <c r="A28" s="576"/>
      <c r="B28" s="556" t="s">
        <v>221</v>
      </c>
      <c r="C28" s="557"/>
      <c r="D28" s="1169">
        <f>[11]Chart!C31</f>
        <v>3.7000000000000002E-3</v>
      </c>
      <c r="E28" s="1211" t="s">
        <v>222</v>
      </c>
      <c r="F28" s="802"/>
      <c r="G28" s="476"/>
      <c r="H28" s="476"/>
      <c r="I28" s="476"/>
      <c r="J28" s="476"/>
    </row>
    <row r="29" spans="1:11">
      <c r="A29" s="576"/>
      <c r="B29" s="802"/>
      <c r="C29" s="802"/>
      <c r="D29" s="802"/>
      <c r="E29" s="802"/>
      <c r="F29" s="783"/>
      <c r="G29" s="822"/>
      <c r="H29" s="823"/>
      <c r="I29" s="823"/>
      <c r="J29" s="824"/>
    </row>
    <row r="30" spans="1:11" ht="15">
      <c r="A30" s="576"/>
      <c r="B30" s="783"/>
      <c r="C30" s="783"/>
      <c r="D30" s="783"/>
      <c r="E30" s="783"/>
      <c r="F30" s="783"/>
      <c r="G30" s="216"/>
      <c r="H30" s="825"/>
      <c r="I30" s="688"/>
      <c r="J30" s="44"/>
    </row>
    <row r="31" spans="1:11" ht="15">
      <c r="A31" s="576"/>
      <c r="B31" s="783"/>
      <c r="C31" s="783"/>
      <c r="D31" s="783"/>
      <c r="E31" s="783"/>
      <c r="F31" s="532"/>
      <c r="G31" s="216"/>
      <c r="H31" s="207"/>
      <c r="I31" s="819"/>
      <c r="J31" s="44"/>
    </row>
    <row r="32" spans="1:11" ht="15">
      <c r="A32" s="576"/>
      <c r="B32"/>
      <c r="C32"/>
      <c r="D32"/>
      <c r="E32"/>
      <c r="F32" s="532"/>
      <c r="G32" s="826"/>
      <c r="H32" s="827"/>
      <c r="I32" s="827"/>
      <c r="J32" s="828"/>
    </row>
    <row r="33" spans="1:6" ht="15">
      <c r="A33" s="576"/>
      <c r="B33"/>
      <c r="C33"/>
      <c r="D33"/>
      <c r="E33"/>
      <c r="F33"/>
    </row>
    <row r="34" spans="1:6" ht="15">
      <c r="A34" s="576"/>
      <c r="B34"/>
      <c r="C34"/>
      <c r="D34"/>
      <c r="E34"/>
      <c r="F34"/>
    </row>
    <row r="35" spans="1:6" ht="15">
      <c r="A35" s="576"/>
      <c r="B35"/>
      <c r="C35"/>
      <c r="D35"/>
      <c r="E35"/>
      <c r="F35"/>
    </row>
    <row r="36" spans="1:6" ht="15">
      <c r="A36" s="576"/>
      <c r="B36"/>
      <c r="C36"/>
      <c r="D36"/>
      <c r="E36"/>
      <c r="F36"/>
    </row>
    <row r="37" spans="1:6" ht="15">
      <c r="A37" s="576"/>
      <c r="B37"/>
      <c r="C37"/>
      <c r="D37"/>
      <c r="E37"/>
      <c r="F37"/>
    </row>
    <row r="38" spans="1:6" ht="15">
      <c r="A38" s="576"/>
      <c r="B38"/>
      <c r="C38"/>
      <c r="D38"/>
      <c r="E38"/>
      <c r="F38"/>
    </row>
    <row r="39" spans="1:6" ht="15">
      <c r="A39" s="576">
        <v>1</v>
      </c>
      <c r="B39"/>
      <c r="C39"/>
      <c r="D39"/>
      <c r="E39"/>
      <c r="F39"/>
    </row>
    <row r="40" spans="1:6" ht="15">
      <c r="A40" s="576"/>
      <c r="B40"/>
      <c r="C40"/>
      <c r="D40"/>
      <c r="E40"/>
      <c r="F40"/>
    </row>
    <row r="41" spans="1:6" ht="15">
      <c r="A41" s="576"/>
      <c r="B41"/>
      <c r="C41"/>
      <c r="D41"/>
      <c r="E41"/>
      <c r="F41"/>
    </row>
    <row r="42" spans="1:6" ht="15">
      <c r="A42" s="576"/>
      <c r="B42"/>
      <c r="C42"/>
      <c r="D42"/>
      <c r="E42"/>
      <c r="F42"/>
    </row>
    <row r="43" spans="1:6" ht="15">
      <c r="A43" s="576"/>
      <c r="B43"/>
      <c r="C43"/>
      <c r="D43"/>
      <c r="E43"/>
      <c r="F43"/>
    </row>
    <row r="44" spans="1:6" ht="15">
      <c r="A44" s="576"/>
      <c r="B44"/>
      <c r="C44"/>
      <c r="D44"/>
      <c r="E44"/>
      <c r="F44"/>
    </row>
    <row r="45" spans="1:6" ht="15">
      <c r="A45" s="576"/>
      <c r="B45"/>
      <c r="C45"/>
      <c r="D45"/>
      <c r="E45"/>
    </row>
    <row r="46" spans="1:6">
      <c r="A46" s="576"/>
    </row>
    <row r="47" spans="1:6">
      <c r="A47" s="576"/>
    </row>
    <row r="48" spans="1:6" ht="15" customHeight="1">
      <c r="A48" s="576"/>
    </row>
    <row r="49" spans="1:1">
      <c r="A49" s="576"/>
    </row>
    <row r="50" spans="1:1">
      <c r="A50" s="576"/>
    </row>
    <row r="51" spans="1:1">
      <c r="A51" s="576"/>
    </row>
    <row r="52" spans="1:1">
      <c r="A52" s="576"/>
    </row>
    <row r="53" spans="1:1">
      <c r="A53" s="576"/>
    </row>
    <row r="54" spans="1:1">
      <c r="A54" s="576"/>
    </row>
    <row r="55" spans="1:1">
      <c r="A55" s="576"/>
    </row>
    <row r="56" spans="1:1">
      <c r="A56" s="576"/>
    </row>
    <row r="57" spans="1:1">
      <c r="A57" s="576"/>
    </row>
    <row r="58" spans="1:1">
      <c r="A58" s="576"/>
    </row>
    <row r="59" spans="1:1">
      <c r="A59" s="576"/>
    </row>
    <row r="60" spans="1:1">
      <c r="A60" s="576"/>
    </row>
    <row r="61" spans="1:1">
      <c r="A61" s="576"/>
    </row>
    <row r="62" spans="1:1">
      <c r="A62" s="576"/>
    </row>
    <row r="63" spans="1:1">
      <c r="A63" s="576"/>
    </row>
    <row r="64" spans="1:1">
      <c r="A64" s="576"/>
    </row>
    <row r="65" spans="1:1">
      <c r="A65" s="576"/>
    </row>
    <row r="66" spans="1:1">
      <c r="A66" s="576"/>
    </row>
    <row r="67" spans="1:1">
      <c r="A67" s="576"/>
    </row>
    <row r="68" spans="1:1">
      <c r="A68" s="576"/>
    </row>
    <row r="69" spans="1:1">
      <c r="A69" s="576"/>
    </row>
    <row r="70" spans="1:1">
      <c r="A70" s="576"/>
    </row>
    <row r="71" spans="1:1">
      <c r="A71" s="576"/>
    </row>
    <row r="72" spans="1:1">
      <c r="A72" s="576"/>
    </row>
    <row r="73" spans="1:1">
      <c r="A73" s="576"/>
    </row>
    <row r="96" spans="6:6">
      <c r="F96" s="476"/>
    </row>
    <row r="97" spans="2:7">
      <c r="B97" s="476"/>
      <c r="C97" s="476"/>
      <c r="D97" s="476"/>
      <c r="E97" s="476"/>
    </row>
    <row r="98" spans="2:7">
      <c r="G98" s="476"/>
    </row>
  </sheetData>
  <mergeCells count="5">
    <mergeCell ref="B2:E2"/>
    <mergeCell ref="G2:J2"/>
    <mergeCell ref="B3:D3"/>
    <mergeCell ref="B9:D9"/>
    <mergeCell ref="B17:D17"/>
  </mergeCells>
  <pageMargins left="0.25" right="0.25" top="0.5" bottom="0.5" header="0.3" footer="0.3"/>
  <pageSetup orientation="landscape" cellComments="asDisplayed" r:id="rId1"/>
  <headerFooter alignWithMargins="0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opLeftCell="Z16" zoomScale="90" zoomScaleNormal="90" zoomScaleSheetLayoutView="90" workbookViewId="0">
      <selection activeCell="AQ39" sqref="AQ39"/>
    </sheetView>
  </sheetViews>
  <sheetFormatPr defaultRowHeight="15"/>
  <cols>
    <col min="1" max="1" width="8.5703125" customWidth="1"/>
    <col min="2" max="2" width="8.7109375" customWidth="1"/>
    <col min="3" max="3" width="9" customWidth="1"/>
    <col min="4" max="5" width="10" customWidth="1"/>
    <col min="6" max="8" width="9" customWidth="1"/>
    <col min="9" max="9" width="9" style="1120" customWidth="1"/>
    <col min="10" max="10" width="34.28515625" style="1121" customWidth="1"/>
    <col min="12" max="12" width="24.7109375" customWidth="1"/>
    <col min="13" max="13" width="7.42578125" customWidth="1"/>
    <col min="14" max="14" width="7" customWidth="1"/>
    <col min="15" max="15" width="11.5703125" customWidth="1"/>
    <col min="16" max="16" width="4.42578125" customWidth="1"/>
    <col min="17" max="17" width="24.5703125" customWidth="1"/>
    <col min="18" max="18" width="9.140625" customWidth="1"/>
    <col min="19" max="19" width="7" customWidth="1"/>
    <col min="20" max="20" width="12.85546875" customWidth="1"/>
    <col min="21" max="21" width="4.7109375" customWidth="1"/>
    <col min="22" max="22" width="24.7109375" customWidth="1"/>
    <col min="23" max="23" width="9.140625" customWidth="1"/>
    <col min="24" max="24" width="7" customWidth="1"/>
    <col min="25" max="25" width="12.85546875" customWidth="1"/>
    <col min="26" max="26" width="5.140625" customWidth="1"/>
    <col min="27" max="27" width="25.5703125" customWidth="1"/>
    <col min="28" max="28" width="9.140625" customWidth="1"/>
    <col min="29" max="29" width="7" bestFit="1" customWidth="1"/>
    <col min="30" max="30" width="12.85546875" customWidth="1"/>
    <col min="31" max="31" width="4.5703125" customWidth="1"/>
    <col min="32" max="32" width="24.85546875" hidden="1" customWidth="1"/>
    <col min="33" max="33" width="9" hidden="1" customWidth="1"/>
    <col min="34" max="34" width="7.42578125" hidden="1" customWidth="1"/>
    <col min="35" max="35" width="12.85546875" hidden="1" customWidth="1"/>
    <col min="36" max="36" width="4.28515625" customWidth="1"/>
    <col min="37" max="37" width="23.28515625" customWidth="1"/>
    <col min="38" max="38" width="9" customWidth="1"/>
    <col min="39" max="39" width="7.5703125" customWidth="1"/>
    <col min="40" max="40" width="12.85546875" customWidth="1"/>
    <col min="248" max="256" width="0" hidden="1" customWidth="1"/>
    <col min="258" max="258" width="20.28515625" bestFit="1" customWidth="1"/>
    <col min="259" max="259" width="13.28515625" customWidth="1"/>
    <col min="260" max="260" width="12.42578125" bestFit="1" customWidth="1"/>
    <col min="261" max="261" width="11.7109375" bestFit="1" customWidth="1"/>
    <col min="262" max="262" width="14.7109375" bestFit="1" customWidth="1"/>
    <col min="264" max="264" width="20.28515625" bestFit="1" customWidth="1"/>
    <col min="265" max="265" width="21" customWidth="1"/>
    <col min="266" max="266" width="12.85546875" customWidth="1"/>
    <col min="267" max="267" width="11.7109375" bestFit="1" customWidth="1"/>
    <col min="268" max="268" width="13.5703125" bestFit="1" customWidth="1"/>
    <col min="270" max="270" width="23.85546875" bestFit="1" customWidth="1"/>
    <col min="271" max="271" width="13.7109375" customWidth="1"/>
    <col min="272" max="272" width="12.85546875" customWidth="1"/>
    <col min="273" max="273" width="11.7109375" bestFit="1" customWidth="1"/>
    <col min="274" max="274" width="14" bestFit="1" customWidth="1"/>
    <col min="276" max="276" width="19.85546875" bestFit="1" customWidth="1"/>
    <col min="277" max="277" width="13" customWidth="1"/>
    <col min="278" max="278" width="12.5703125" customWidth="1"/>
    <col min="279" max="279" width="12" bestFit="1" customWidth="1"/>
    <col min="280" max="280" width="12.5703125" customWidth="1"/>
    <col min="282" max="282" width="19.85546875" bestFit="1" customWidth="1"/>
    <col min="283" max="283" width="13.28515625" customWidth="1"/>
    <col min="284" max="284" width="12.28515625" customWidth="1"/>
    <col min="285" max="285" width="11.7109375" bestFit="1" customWidth="1"/>
    <col min="286" max="286" width="11.42578125" customWidth="1"/>
    <col min="288" max="288" width="20.140625" bestFit="1" customWidth="1"/>
    <col min="289" max="290" width="12.28515625" customWidth="1"/>
    <col min="291" max="291" width="9" bestFit="1" customWidth="1"/>
    <col min="292" max="292" width="11.85546875" bestFit="1" customWidth="1"/>
    <col min="294" max="294" width="15" customWidth="1"/>
    <col min="504" max="512" width="0" hidden="1" customWidth="1"/>
    <col min="514" max="514" width="20.28515625" bestFit="1" customWidth="1"/>
    <col min="515" max="515" width="13.28515625" customWidth="1"/>
    <col min="516" max="516" width="12.42578125" bestFit="1" customWidth="1"/>
    <col min="517" max="517" width="11.7109375" bestFit="1" customWidth="1"/>
    <col min="518" max="518" width="14.7109375" bestFit="1" customWidth="1"/>
    <col min="520" max="520" width="20.28515625" bestFit="1" customWidth="1"/>
    <col min="521" max="521" width="21" customWidth="1"/>
    <col min="522" max="522" width="12.85546875" customWidth="1"/>
    <col min="523" max="523" width="11.7109375" bestFit="1" customWidth="1"/>
    <col min="524" max="524" width="13.5703125" bestFit="1" customWidth="1"/>
    <col min="526" max="526" width="23.85546875" bestFit="1" customWidth="1"/>
    <col min="527" max="527" width="13.7109375" customWidth="1"/>
    <col min="528" max="528" width="12.85546875" customWidth="1"/>
    <col min="529" max="529" width="11.7109375" bestFit="1" customWidth="1"/>
    <col min="530" max="530" width="14" bestFit="1" customWidth="1"/>
    <col min="532" max="532" width="19.85546875" bestFit="1" customWidth="1"/>
    <col min="533" max="533" width="13" customWidth="1"/>
    <col min="534" max="534" width="12.5703125" customWidth="1"/>
    <col min="535" max="535" width="12" bestFit="1" customWidth="1"/>
    <col min="536" max="536" width="12.5703125" customWidth="1"/>
    <col min="538" max="538" width="19.85546875" bestFit="1" customWidth="1"/>
    <col min="539" max="539" width="13.28515625" customWidth="1"/>
    <col min="540" max="540" width="12.28515625" customWidth="1"/>
    <col min="541" max="541" width="11.7109375" bestFit="1" customWidth="1"/>
    <col min="542" max="542" width="11.42578125" customWidth="1"/>
    <col min="544" max="544" width="20.140625" bestFit="1" customWidth="1"/>
    <col min="545" max="546" width="12.28515625" customWidth="1"/>
    <col min="547" max="547" width="9" bestFit="1" customWidth="1"/>
    <col min="548" max="548" width="11.85546875" bestFit="1" customWidth="1"/>
    <col min="550" max="550" width="15" customWidth="1"/>
    <col min="760" max="768" width="0" hidden="1" customWidth="1"/>
    <col min="770" max="770" width="20.28515625" bestFit="1" customWidth="1"/>
    <col min="771" max="771" width="13.28515625" customWidth="1"/>
    <col min="772" max="772" width="12.42578125" bestFit="1" customWidth="1"/>
    <col min="773" max="773" width="11.7109375" bestFit="1" customWidth="1"/>
    <col min="774" max="774" width="14.7109375" bestFit="1" customWidth="1"/>
    <col min="776" max="776" width="20.28515625" bestFit="1" customWidth="1"/>
    <col min="777" max="777" width="21" customWidth="1"/>
    <col min="778" max="778" width="12.85546875" customWidth="1"/>
    <col min="779" max="779" width="11.7109375" bestFit="1" customWidth="1"/>
    <col min="780" max="780" width="13.5703125" bestFit="1" customWidth="1"/>
    <col min="782" max="782" width="23.85546875" bestFit="1" customWidth="1"/>
    <col min="783" max="783" width="13.7109375" customWidth="1"/>
    <col min="784" max="784" width="12.85546875" customWidth="1"/>
    <col min="785" max="785" width="11.7109375" bestFit="1" customWidth="1"/>
    <col min="786" max="786" width="14" bestFit="1" customWidth="1"/>
    <col min="788" max="788" width="19.85546875" bestFit="1" customWidth="1"/>
    <col min="789" max="789" width="13" customWidth="1"/>
    <col min="790" max="790" width="12.5703125" customWidth="1"/>
    <col min="791" max="791" width="12" bestFit="1" customWidth="1"/>
    <col min="792" max="792" width="12.5703125" customWidth="1"/>
    <col min="794" max="794" width="19.85546875" bestFit="1" customWidth="1"/>
    <col min="795" max="795" width="13.28515625" customWidth="1"/>
    <col min="796" max="796" width="12.28515625" customWidth="1"/>
    <col min="797" max="797" width="11.7109375" bestFit="1" customWidth="1"/>
    <col min="798" max="798" width="11.42578125" customWidth="1"/>
    <col min="800" max="800" width="20.140625" bestFit="1" customWidth="1"/>
    <col min="801" max="802" width="12.28515625" customWidth="1"/>
    <col min="803" max="803" width="9" bestFit="1" customWidth="1"/>
    <col min="804" max="804" width="11.85546875" bestFit="1" customWidth="1"/>
    <col min="806" max="806" width="15" customWidth="1"/>
    <col min="1016" max="1024" width="0" hidden="1" customWidth="1"/>
    <col min="1026" max="1026" width="20.28515625" bestFit="1" customWidth="1"/>
    <col min="1027" max="1027" width="13.28515625" customWidth="1"/>
    <col min="1028" max="1028" width="12.42578125" bestFit="1" customWidth="1"/>
    <col min="1029" max="1029" width="11.7109375" bestFit="1" customWidth="1"/>
    <col min="1030" max="1030" width="14.7109375" bestFit="1" customWidth="1"/>
    <col min="1032" max="1032" width="20.28515625" bestFit="1" customWidth="1"/>
    <col min="1033" max="1033" width="21" customWidth="1"/>
    <col min="1034" max="1034" width="12.85546875" customWidth="1"/>
    <col min="1035" max="1035" width="11.7109375" bestFit="1" customWidth="1"/>
    <col min="1036" max="1036" width="13.5703125" bestFit="1" customWidth="1"/>
    <col min="1038" max="1038" width="23.85546875" bestFit="1" customWidth="1"/>
    <col min="1039" max="1039" width="13.7109375" customWidth="1"/>
    <col min="1040" max="1040" width="12.85546875" customWidth="1"/>
    <col min="1041" max="1041" width="11.7109375" bestFit="1" customWidth="1"/>
    <col min="1042" max="1042" width="14" bestFit="1" customWidth="1"/>
    <col min="1044" max="1044" width="19.85546875" bestFit="1" customWidth="1"/>
    <col min="1045" max="1045" width="13" customWidth="1"/>
    <col min="1046" max="1046" width="12.5703125" customWidth="1"/>
    <col min="1047" max="1047" width="12" bestFit="1" customWidth="1"/>
    <col min="1048" max="1048" width="12.5703125" customWidth="1"/>
    <col min="1050" max="1050" width="19.85546875" bestFit="1" customWidth="1"/>
    <col min="1051" max="1051" width="13.28515625" customWidth="1"/>
    <col min="1052" max="1052" width="12.28515625" customWidth="1"/>
    <col min="1053" max="1053" width="11.7109375" bestFit="1" customWidth="1"/>
    <col min="1054" max="1054" width="11.42578125" customWidth="1"/>
    <col min="1056" max="1056" width="20.140625" bestFit="1" customWidth="1"/>
    <col min="1057" max="1058" width="12.28515625" customWidth="1"/>
    <col min="1059" max="1059" width="9" bestFit="1" customWidth="1"/>
    <col min="1060" max="1060" width="11.85546875" bestFit="1" customWidth="1"/>
    <col min="1062" max="1062" width="15" customWidth="1"/>
    <col min="1272" max="1280" width="0" hidden="1" customWidth="1"/>
    <col min="1282" max="1282" width="20.28515625" bestFit="1" customWidth="1"/>
    <col min="1283" max="1283" width="13.28515625" customWidth="1"/>
    <col min="1284" max="1284" width="12.42578125" bestFit="1" customWidth="1"/>
    <col min="1285" max="1285" width="11.7109375" bestFit="1" customWidth="1"/>
    <col min="1286" max="1286" width="14.7109375" bestFit="1" customWidth="1"/>
    <col min="1288" max="1288" width="20.28515625" bestFit="1" customWidth="1"/>
    <col min="1289" max="1289" width="21" customWidth="1"/>
    <col min="1290" max="1290" width="12.85546875" customWidth="1"/>
    <col min="1291" max="1291" width="11.7109375" bestFit="1" customWidth="1"/>
    <col min="1292" max="1292" width="13.5703125" bestFit="1" customWidth="1"/>
    <col min="1294" max="1294" width="23.85546875" bestFit="1" customWidth="1"/>
    <col min="1295" max="1295" width="13.7109375" customWidth="1"/>
    <col min="1296" max="1296" width="12.85546875" customWidth="1"/>
    <col min="1297" max="1297" width="11.7109375" bestFit="1" customWidth="1"/>
    <col min="1298" max="1298" width="14" bestFit="1" customWidth="1"/>
    <col min="1300" max="1300" width="19.85546875" bestFit="1" customWidth="1"/>
    <col min="1301" max="1301" width="13" customWidth="1"/>
    <col min="1302" max="1302" width="12.5703125" customWidth="1"/>
    <col min="1303" max="1303" width="12" bestFit="1" customWidth="1"/>
    <col min="1304" max="1304" width="12.5703125" customWidth="1"/>
    <col min="1306" max="1306" width="19.85546875" bestFit="1" customWidth="1"/>
    <col min="1307" max="1307" width="13.28515625" customWidth="1"/>
    <col min="1308" max="1308" width="12.28515625" customWidth="1"/>
    <col min="1309" max="1309" width="11.7109375" bestFit="1" customWidth="1"/>
    <col min="1310" max="1310" width="11.42578125" customWidth="1"/>
    <col min="1312" max="1312" width="20.140625" bestFit="1" customWidth="1"/>
    <col min="1313" max="1314" width="12.28515625" customWidth="1"/>
    <col min="1315" max="1315" width="9" bestFit="1" customWidth="1"/>
    <col min="1316" max="1316" width="11.85546875" bestFit="1" customWidth="1"/>
    <col min="1318" max="1318" width="15" customWidth="1"/>
    <col min="1528" max="1536" width="0" hidden="1" customWidth="1"/>
    <col min="1538" max="1538" width="20.28515625" bestFit="1" customWidth="1"/>
    <col min="1539" max="1539" width="13.28515625" customWidth="1"/>
    <col min="1540" max="1540" width="12.42578125" bestFit="1" customWidth="1"/>
    <col min="1541" max="1541" width="11.7109375" bestFit="1" customWidth="1"/>
    <col min="1542" max="1542" width="14.7109375" bestFit="1" customWidth="1"/>
    <col min="1544" max="1544" width="20.28515625" bestFit="1" customWidth="1"/>
    <col min="1545" max="1545" width="21" customWidth="1"/>
    <col min="1546" max="1546" width="12.85546875" customWidth="1"/>
    <col min="1547" max="1547" width="11.7109375" bestFit="1" customWidth="1"/>
    <col min="1548" max="1548" width="13.5703125" bestFit="1" customWidth="1"/>
    <col min="1550" max="1550" width="23.85546875" bestFit="1" customWidth="1"/>
    <col min="1551" max="1551" width="13.7109375" customWidth="1"/>
    <col min="1552" max="1552" width="12.85546875" customWidth="1"/>
    <col min="1553" max="1553" width="11.7109375" bestFit="1" customWidth="1"/>
    <col min="1554" max="1554" width="14" bestFit="1" customWidth="1"/>
    <col min="1556" max="1556" width="19.85546875" bestFit="1" customWidth="1"/>
    <col min="1557" max="1557" width="13" customWidth="1"/>
    <col min="1558" max="1558" width="12.5703125" customWidth="1"/>
    <col min="1559" max="1559" width="12" bestFit="1" customWidth="1"/>
    <col min="1560" max="1560" width="12.5703125" customWidth="1"/>
    <col min="1562" max="1562" width="19.85546875" bestFit="1" customWidth="1"/>
    <col min="1563" max="1563" width="13.28515625" customWidth="1"/>
    <col min="1564" max="1564" width="12.28515625" customWidth="1"/>
    <col min="1565" max="1565" width="11.7109375" bestFit="1" customWidth="1"/>
    <col min="1566" max="1566" width="11.42578125" customWidth="1"/>
    <col min="1568" max="1568" width="20.140625" bestFit="1" customWidth="1"/>
    <col min="1569" max="1570" width="12.28515625" customWidth="1"/>
    <col min="1571" max="1571" width="9" bestFit="1" customWidth="1"/>
    <col min="1572" max="1572" width="11.85546875" bestFit="1" customWidth="1"/>
    <col min="1574" max="1574" width="15" customWidth="1"/>
    <col min="1784" max="1792" width="0" hidden="1" customWidth="1"/>
    <col min="1794" max="1794" width="20.28515625" bestFit="1" customWidth="1"/>
    <col min="1795" max="1795" width="13.28515625" customWidth="1"/>
    <col min="1796" max="1796" width="12.42578125" bestFit="1" customWidth="1"/>
    <col min="1797" max="1797" width="11.7109375" bestFit="1" customWidth="1"/>
    <col min="1798" max="1798" width="14.7109375" bestFit="1" customWidth="1"/>
    <col min="1800" max="1800" width="20.28515625" bestFit="1" customWidth="1"/>
    <col min="1801" max="1801" width="21" customWidth="1"/>
    <col min="1802" max="1802" width="12.85546875" customWidth="1"/>
    <col min="1803" max="1803" width="11.7109375" bestFit="1" customWidth="1"/>
    <col min="1804" max="1804" width="13.5703125" bestFit="1" customWidth="1"/>
    <col min="1806" max="1806" width="23.85546875" bestFit="1" customWidth="1"/>
    <col min="1807" max="1807" width="13.7109375" customWidth="1"/>
    <col min="1808" max="1808" width="12.85546875" customWidth="1"/>
    <col min="1809" max="1809" width="11.7109375" bestFit="1" customWidth="1"/>
    <col min="1810" max="1810" width="14" bestFit="1" customWidth="1"/>
    <col min="1812" max="1812" width="19.85546875" bestFit="1" customWidth="1"/>
    <col min="1813" max="1813" width="13" customWidth="1"/>
    <col min="1814" max="1814" width="12.5703125" customWidth="1"/>
    <col min="1815" max="1815" width="12" bestFit="1" customWidth="1"/>
    <col min="1816" max="1816" width="12.5703125" customWidth="1"/>
    <col min="1818" max="1818" width="19.85546875" bestFit="1" customWidth="1"/>
    <col min="1819" max="1819" width="13.28515625" customWidth="1"/>
    <col min="1820" max="1820" width="12.28515625" customWidth="1"/>
    <col min="1821" max="1821" width="11.7109375" bestFit="1" customWidth="1"/>
    <col min="1822" max="1822" width="11.42578125" customWidth="1"/>
    <col min="1824" max="1824" width="20.140625" bestFit="1" customWidth="1"/>
    <col min="1825" max="1826" width="12.28515625" customWidth="1"/>
    <col min="1827" max="1827" width="9" bestFit="1" customWidth="1"/>
    <col min="1828" max="1828" width="11.85546875" bestFit="1" customWidth="1"/>
    <col min="1830" max="1830" width="15" customWidth="1"/>
    <col min="2040" max="2048" width="0" hidden="1" customWidth="1"/>
    <col min="2050" max="2050" width="20.28515625" bestFit="1" customWidth="1"/>
    <col min="2051" max="2051" width="13.28515625" customWidth="1"/>
    <col min="2052" max="2052" width="12.42578125" bestFit="1" customWidth="1"/>
    <col min="2053" max="2053" width="11.7109375" bestFit="1" customWidth="1"/>
    <col min="2054" max="2054" width="14.7109375" bestFit="1" customWidth="1"/>
    <col min="2056" max="2056" width="20.28515625" bestFit="1" customWidth="1"/>
    <col min="2057" max="2057" width="21" customWidth="1"/>
    <col min="2058" max="2058" width="12.85546875" customWidth="1"/>
    <col min="2059" max="2059" width="11.7109375" bestFit="1" customWidth="1"/>
    <col min="2060" max="2060" width="13.5703125" bestFit="1" customWidth="1"/>
    <col min="2062" max="2062" width="23.85546875" bestFit="1" customWidth="1"/>
    <col min="2063" max="2063" width="13.7109375" customWidth="1"/>
    <col min="2064" max="2064" width="12.85546875" customWidth="1"/>
    <col min="2065" max="2065" width="11.7109375" bestFit="1" customWidth="1"/>
    <col min="2066" max="2066" width="14" bestFit="1" customWidth="1"/>
    <col min="2068" max="2068" width="19.85546875" bestFit="1" customWidth="1"/>
    <col min="2069" max="2069" width="13" customWidth="1"/>
    <col min="2070" max="2070" width="12.5703125" customWidth="1"/>
    <col min="2071" max="2071" width="12" bestFit="1" customWidth="1"/>
    <col min="2072" max="2072" width="12.5703125" customWidth="1"/>
    <col min="2074" max="2074" width="19.85546875" bestFit="1" customWidth="1"/>
    <col min="2075" max="2075" width="13.28515625" customWidth="1"/>
    <col min="2076" max="2076" width="12.28515625" customWidth="1"/>
    <col min="2077" max="2077" width="11.7109375" bestFit="1" customWidth="1"/>
    <col min="2078" max="2078" width="11.42578125" customWidth="1"/>
    <col min="2080" max="2080" width="20.140625" bestFit="1" customWidth="1"/>
    <col min="2081" max="2082" width="12.28515625" customWidth="1"/>
    <col min="2083" max="2083" width="9" bestFit="1" customWidth="1"/>
    <col min="2084" max="2084" width="11.85546875" bestFit="1" customWidth="1"/>
    <col min="2086" max="2086" width="15" customWidth="1"/>
    <col min="2296" max="2304" width="0" hidden="1" customWidth="1"/>
    <col min="2306" max="2306" width="20.28515625" bestFit="1" customWidth="1"/>
    <col min="2307" max="2307" width="13.28515625" customWidth="1"/>
    <col min="2308" max="2308" width="12.42578125" bestFit="1" customWidth="1"/>
    <col min="2309" max="2309" width="11.7109375" bestFit="1" customWidth="1"/>
    <col min="2310" max="2310" width="14.7109375" bestFit="1" customWidth="1"/>
    <col min="2312" max="2312" width="20.28515625" bestFit="1" customWidth="1"/>
    <col min="2313" max="2313" width="21" customWidth="1"/>
    <col min="2314" max="2314" width="12.85546875" customWidth="1"/>
    <col min="2315" max="2315" width="11.7109375" bestFit="1" customWidth="1"/>
    <col min="2316" max="2316" width="13.5703125" bestFit="1" customWidth="1"/>
    <col min="2318" max="2318" width="23.85546875" bestFit="1" customWidth="1"/>
    <col min="2319" max="2319" width="13.7109375" customWidth="1"/>
    <col min="2320" max="2320" width="12.85546875" customWidth="1"/>
    <col min="2321" max="2321" width="11.7109375" bestFit="1" customWidth="1"/>
    <col min="2322" max="2322" width="14" bestFit="1" customWidth="1"/>
    <col min="2324" max="2324" width="19.85546875" bestFit="1" customWidth="1"/>
    <col min="2325" max="2325" width="13" customWidth="1"/>
    <col min="2326" max="2326" width="12.5703125" customWidth="1"/>
    <col min="2327" max="2327" width="12" bestFit="1" customWidth="1"/>
    <col min="2328" max="2328" width="12.5703125" customWidth="1"/>
    <col min="2330" max="2330" width="19.85546875" bestFit="1" customWidth="1"/>
    <col min="2331" max="2331" width="13.28515625" customWidth="1"/>
    <col min="2332" max="2332" width="12.28515625" customWidth="1"/>
    <col min="2333" max="2333" width="11.7109375" bestFit="1" customWidth="1"/>
    <col min="2334" max="2334" width="11.42578125" customWidth="1"/>
    <col min="2336" max="2336" width="20.140625" bestFit="1" customWidth="1"/>
    <col min="2337" max="2338" width="12.28515625" customWidth="1"/>
    <col min="2339" max="2339" width="9" bestFit="1" customWidth="1"/>
    <col min="2340" max="2340" width="11.85546875" bestFit="1" customWidth="1"/>
    <col min="2342" max="2342" width="15" customWidth="1"/>
    <col min="2552" max="2560" width="0" hidden="1" customWidth="1"/>
    <col min="2562" max="2562" width="20.28515625" bestFit="1" customWidth="1"/>
    <col min="2563" max="2563" width="13.28515625" customWidth="1"/>
    <col min="2564" max="2564" width="12.42578125" bestFit="1" customWidth="1"/>
    <col min="2565" max="2565" width="11.7109375" bestFit="1" customWidth="1"/>
    <col min="2566" max="2566" width="14.7109375" bestFit="1" customWidth="1"/>
    <col min="2568" max="2568" width="20.28515625" bestFit="1" customWidth="1"/>
    <col min="2569" max="2569" width="21" customWidth="1"/>
    <col min="2570" max="2570" width="12.85546875" customWidth="1"/>
    <col min="2571" max="2571" width="11.7109375" bestFit="1" customWidth="1"/>
    <col min="2572" max="2572" width="13.5703125" bestFit="1" customWidth="1"/>
    <col min="2574" max="2574" width="23.85546875" bestFit="1" customWidth="1"/>
    <col min="2575" max="2575" width="13.7109375" customWidth="1"/>
    <col min="2576" max="2576" width="12.85546875" customWidth="1"/>
    <col min="2577" max="2577" width="11.7109375" bestFit="1" customWidth="1"/>
    <col min="2578" max="2578" width="14" bestFit="1" customWidth="1"/>
    <col min="2580" max="2580" width="19.85546875" bestFit="1" customWidth="1"/>
    <col min="2581" max="2581" width="13" customWidth="1"/>
    <col min="2582" max="2582" width="12.5703125" customWidth="1"/>
    <col min="2583" max="2583" width="12" bestFit="1" customWidth="1"/>
    <col min="2584" max="2584" width="12.5703125" customWidth="1"/>
    <col min="2586" max="2586" width="19.85546875" bestFit="1" customWidth="1"/>
    <col min="2587" max="2587" width="13.28515625" customWidth="1"/>
    <col min="2588" max="2588" width="12.28515625" customWidth="1"/>
    <col min="2589" max="2589" width="11.7109375" bestFit="1" customWidth="1"/>
    <col min="2590" max="2590" width="11.42578125" customWidth="1"/>
    <col min="2592" max="2592" width="20.140625" bestFit="1" customWidth="1"/>
    <col min="2593" max="2594" width="12.28515625" customWidth="1"/>
    <col min="2595" max="2595" width="9" bestFit="1" customWidth="1"/>
    <col min="2596" max="2596" width="11.85546875" bestFit="1" customWidth="1"/>
    <col min="2598" max="2598" width="15" customWidth="1"/>
    <col min="2808" max="2816" width="0" hidden="1" customWidth="1"/>
    <col min="2818" max="2818" width="20.28515625" bestFit="1" customWidth="1"/>
    <col min="2819" max="2819" width="13.28515625" customWidth="1"/>
    <col min="2820" max="2820" width="12.42578125" bestFit="1" customWidth="1"/>
    <col min="2821" max="2821" width="11.7109375" bestFit="1" customWidth="1"/>
    <col min="2822" max="2822" width="14.7109375" bestFit="1" customWidth="1"/>
    <col min="2824" max="2824" width="20.28515625" bestFit="1" customWidth="1"/>
    <col min="2825" max="2825" width="21" customWidth="1"/>
    <col min="2826" max="2826" width="12.85546875" customWidth="1"/>
    <col min="2827" max="2827" width="11.7109375" bestFit="1" customWidth="1"/>
    <col min="2828" max="2828" width="13.5703125" bestFit="1" customWidth="1"/>
    <col min="2830" max="2830" width="23.85546875" bestFit="1" customWidth="1"/>
    <col min="2831" max="2831" width="13.7109375" customWidth="1"/>
    <col min="2832" max="2832" width="12.85546875" customWidth="1"/>
    <col min="2833" max="2833" width="11.7109375" bestFit="1" customWidth="1"/>
    <col min="2834" max="2834" width="14" bestFit="1" customWidth="1"/>
    <col min="2836" max="2836" width="19.85546875" bestFit="1" customWidth="1"/>
    <col min="2837" max="2837" width="13" customWidth="1"/>
    <col min="2838" max="2838" width="12.5703125" customWidth="1"/>
    <col min="2839" max="2839" width="12" bestFit="1" customWidth="1"/>
    <col min="2840" max="2840" width="12.5703125" customWidth="1"/>
    <col min="2842" max="2842" width="19.85546875" bestFit="1" customWidth="1"/>
    <col min="2843" max="2843" width="13.28515625" customWidth="1"/>
    <col min="2844" max="2844" width="12.28515625" customWidth="1"/>
    <col min="2845" max="2845" width="11.7109375" bestFit="1" customWidth="1"/>
    <col min="2846" max="2846" width="11.42578125" customWidth="1"/>
    <col min="2848" max="2848" width="20.140625" bestFit="1" customWidth="1"/>
    <col min="2849" max="2850" width="12.28515625" customWidth="1"/>
    <col min="2851" max="2851" width="9" bestFit="1" customWidth="1"/>
    <col min="2852" max="2852" width="11.85546875" bestFit="1" customWidth="1"/>
    <col min="2854" max="2854" width="15" customWidth="1"/>
    <col min="3064" max="3072" width="0" hidden="1" customWidth="1"/>
    <col min="3074" max="3074" width="20.28515625" bestFit="1" customWidth="1"/>
    <col min="3075" max="3075" width="13.28515625" customWidth="1"/>
    <col min="3076" max="3076" width="12.42578125" bestFit="1" customWidth="1"/>
    <col min="3077" max="3077" width="11.7109375" bestFit="1" customWidth="1"/>
    <col min="3078" max="3078" width="14.7109375" bestFit="1" customWidth="1"/>
    <col min="3080" max="3080" width="20.28515625" bestFit="1" customWidth="1"/>
    <col min="3081" max="3081" width="21" customWidth="1"/>
    <col min="3082" max="3082" width="12.85546875" customWidth="1"/>
    <col min="3083" max="3083" width="11.7109375" bestFit="1" customWidth="1"/>
    <col min="3084" max="3084" width="13.5703125" bestFit="1" customWidth="1"/>
    <col min="3086" max="3086" width="23.85546875" bestFit="1" customWidth="1"/>
    <col min="3087" max="3087" width="13.7109375" customWidth="1"/>
    <col min="3088" max="3088" width="12.85546875" customWidth="1"/>
    <col min="3089" max="3089" width="11.7109375" bestFit="1" customWidth="1"/>
    <col min="3090" max="3090" width="14" bestFit="1" customWidth="1"/>
    <col min="3092" max="3092" width="19.85546875" bestFit="1" customWidth="1"/>
    <col min="3093" max="3093" width="13" customWidth="1"/>
    <col min="3094" max="3094" width="12.5703125" customWidth="1"/>
    <col min="3095" max="3095" width="12" bestFit="1" customWidth="1"/>
    <col min="3096" max="3096" width="12.5703125" customWidth="1"/>
    <col min="3098" max="3098" width="19.85546875" bestFit="1" customWidth="1"/>
    <col min="3099" max="3099" width="13.28515625" customWidth="1"/>
    <col min="3100" max="3100" width="12.28515625" customWidth="1"/>
    <col min="3101" max="3101" width="11.7109375" bestFit="1" customWidth="1"/>
    <col min="3102" max="3102" width="11.42578125" customWidth="1"/>
    <col min="3104" max="3104" width="20.140625" bestFit="1" customWidth="1"/>
    <col min="3105" max="3106" width="12.28515625" customWidth="1"/>
    <col min="3107" max="3107" width="9" bestFit="1" customWidth="1"/>
    <col min="3108" max="3108" width="11.85546875" bestFit="1" customWidth="1"/>
    <col min="3110" max="3110" width="15" customWidth="1"/>
    <col min="3320" max="3328" width="0" hidden="1" customWidth="1"/>
    <col min="3330" max="3330" width="20.28515625" bestFit="1" customWidth="1"/>
    <col min="3331" max="3331" width="13.28515625" customWidth="1"/>
    <col min="3332" max="3332" width="12.42578125" bestFit="1" customWidth="1"/>
    <col min="3333" max="3333" width="11.7109375" bestFit="1" customWidth="1"/>
    <col min="3334" max="3334" width="14.7109375" bestFit="1" customWidth="1"/>
    <col min="3336" max="3336" width="20.28515625" bestFit="1" customWidth="1"/>
    <col min="3337" max="3337" width="21" customWidth="1"/>
    <col min="3338" max="3338" width="12.85546875" customWidth="1"/>
    <col min="3339" max="3339" width="11.7109375" bestFit="1" customWidth="1"/>
    <col min="3340" max="3340" width="13.5703125" bestFit="1" customWidth="1"/>
    <col min="3342" max="3342" width="23.85546875" bestFit="1" customWidth="1"/>
    <col min="3343" max="3343" width="13.7109375" customWidth="1"/>
    <col min="3344" max="3344" width="12.85546875" customWidth="1"/>
    <col min="3345" max="3345" width="11.7109375" bestFit="1" customWidth="1"/>
    <col min="3346" max="3346" width="14" bestFit="1" customWidth="1"/>
    <col min="3348" max="3348" width="19.85546875" bestFit="1" customWidth="1"/>
    <col min="3349" max="3349" width="13" customWidth="1"/>
    <col min="3350" max="3350" width="12.5703125" customWidth="1"/>
    <col min="3351" max="3351" width="12" bestFit="1" customWidth="1"/>
    <col min="3352" max="3352" width="12.5703125" customWidth="1"/>
    <col min="3354" max="3354" width="19.85546875" bestFit="1" customWidth="1"/>
    <col min="3355" max="3355" width="13.28515625" customWidth="1"/>
    <col min="3356" max="3356" width="12.28515625" customWidth="1"/>
    <col min="3357" max="3357" width="11.7109375" bestFit="1" customWidth="1"/>
    <col min="3358" max="3358" width="11.42578125" customWidth="1"/>
    <col min="3360" max="3360" width="20.140625" bestFit="1" customWidth="1"/>
    <col min="3361" max="3362" width="12.28515625" customWidth="1"/>
    <col min="3363" max="3363" width="9" bestFit="1" customWidth="1"/>
    <col min="3364" max="3364" width="11.85546875" bestFit="1" customWidth="1"/>
    <col min="3366" max="3366" width="15" customWidth="1"/>
    <col min="3576" max="3584" width="0" hidden="1" customWidth="1"/>
    <col min="3586" max="3586" width="20.28515625" bestFit="1" customWidth="1"/>
    <col min="3587" max="3587" width="13.28515625" customWidth="1"/>
    <col min="3588" max="3588" width="12.42578125" bestFit="1" customWidth="1"/>
    <col min="3589" max="3589" width="11.7109375" bestFit="1" customWidth="1"/>
    <col min="3590" max="3590" width="14.7109375" bestFit="1" customWidth="1"/>
    <col min="3592" max="3592" width="20.28515625" bestFit="1" customWidth="1"/>
    <col min="3593" max="3593" width="21" customWidth="1"/>
    <col min="3594" max="3594" width="12.85546875" customWidth="1"/>
    <col min="3595" max="3595" width="11.7109375" bestFit="1" customWidth="1"/>
    <col min="3596" max="3596" width="13.5703125" bestFit="1" customWidth="1"/>
    <col min="3598" max="3598" width="23.85546875" bestFit="1" customWidth="1"/>
    <col min="3599" max="3599" width="13.7109375" customWidth="1"/>
    <col min="3600" max="3600" width="12.85546875" customWidth="1"/>
    <col min="3601" max="3601" width="11.7109375" bestFit="1" customWidth="1"/>
    <col min="3602" max="3602" width="14" bestFit="1" customWidth="1"/>
    <col min="3604" max="3604" width="19.85546875" bestFit="1" customWidth="1"/>
    <col min="3605" max="3605" width="13" customWidth="1"/>
    <col min="3606" max="3606" width="12.5703125" customWidth="1"/>
    <col min="3607" max="3607" width="12" bestFit="1" customWidth="1"/>
    <col min="3608" max="3608" width="12.5703125" customWidth="1"/>
    <col min="3610" max="3610" width="19.85546875" bestFit="1" customWidth="1"/>
    <col min="3611" max="3611" width="13.28515625" customWidth="1"/>
    <col min="3612" max="3612" width="12.28515625" customWidth="1"/>
    <col min="3613" max="3613" width="11.7109375" bestFit="1" customWidth="1"/>
    <col min="3614" max="3614" width="11.42578125" customWidth="1"/>
    <col min="3616" max="3616" width="20.140625" bestFit="1" customWidth="1"/>
    <col min="3617" max="3618" width="12.28515625" customWidth="1"/>
    <col min="3619" max="3619" width="9" bestFit="1" customWidth="1"/>
    <col min="3620" max="3620" width="11.85546875" bestFit="1" customWidth="1"/>
    <col min="3622" max="3622" width="15" customWidth="1"/>
    <col min="3832" max="3840" width="0" hidden="1" customWidth="1"/>
    <col min="3842" max="3842" width="20.28515625" bestFit="1" customWidth="1"/>
    <col min="3843" max="3843" width="13.28515625" customWidth="1"/>
    <col min="3844" max="3844" width="12.42578125" bestFit="1" customWidth="1"/>
    <col min="3845" max="3845" width="11.7109375" bestFit="1" customWidth="1"/>
    <col min="3846" max="3846" width="14.7109375" bestFit="1" customWidth="1"/>
    <col min="3848" max="3848" width="20.28515625" bestFit="1" customWidth="1"/>
    <col min="3849" max="3849" width="21" customWidth="1"/>
    <col min="3850" max="3850" width="12.85546875" customWidth="1"/>
    <col min="3851" max="3851" width="11.7109375" bestFit="1" customWidth="1"/>
    <col min="3852" max="3852" width="13.5703125" bestFit="1" customWidth="1"/>
    <col min="3854" max="3854" width="23.85546875" bestFit="1" customWidth="1"/>
    <col min="3855" max="3855" width="13.7109375" customWidth="1"/>
    <col min="3856" max="3856" width="12.85546875" customWidth="1"/>
    <col min="3857" max="3857" width="11.7109375" bestFit="1" customWidth="1"/>
    <col min="3858" max="3858" width="14" bestFit="1" customWidth="1"/>
    <col min="3860" max="3860" width="19.85546875" bestFit="1" customWidth="1"/>
    <col min="3861" max="3861" width="13" customWidth="1"/>
    <col min="3862" max="3862" width="12.5703125" customWidth="1"/>
    <col min="3863" max="3863" width="12" bestFit="1" customWidth="1"/>
    <col min="3864" max="3864" width="12.5703125" customWidth="1"/>
    <col min="3866" max="3866" width="19.85546875" bestFit="1" customWidth="1"/>
    <col min="3867" max="3867" width="13.28515625" customWidth="1"/>
    <col min="3868" max="3868" width="12.28515625" customWidth="1"/>
    <col min="3869" max="3869" width="11.7109375" bestFit="1" customWidth="1"/>
    <col min="3870" max="3870" width="11.42578125" customWidth="1"/>
    <col min="3872" max="3872" width="20.140625" bestFit="1" customWidth="1"/>
    <col min="3873" max="3874" width="12.28515625" customWidth="1"/>
    <col min="3875" max="3875" width="9" bestFit="1" customWidth="1"/>
    <col min="3876" max="3876" width="11.85546875" bestFit="1" customWidth="1"/>
    <col min="3878" max="3878" width="15" customWidth="1"/>
    <col min="4088" max="4096" width="0" hidden="1" customWidth="1"/>
    <col min="4098" max="4098" width="20.28515625" bestFit="1" customWidth="1"/>
    <col min="4099" max="4099" width="13.28515625" customWidth="1"/>
    <col min="4100" max="4100" width="12.42578125" bestFit="1" customWidth="1"/>
    <col min="4101" max="4101" width="11.7109375" bestFit="1" customWidth="1"/>
    <col min="4102" max="4102" width="14.7109375" bestFit="1" customWidth="1"/>
    <col min="4104" max="4104" width="20.28515625" bestFit="1" customWidth="1"/>
    <col min="4105" max="4105" width="21" customWidth="1"/>
    <col min="4106" max="4106" width="12.85546875" customWidth="1"/>
    <col min="4107" max="4107" width="11.7109375" bestFit="1" customWidth="1"/>
    <col min="4108" max="4108" width="13.5703125" bestFit="1" customWidth="1"/>
    <col min="4110" max="4110" width="23.85546875" bestFit="1" customWidth="1"/>
    <col min="4111" max="4111" width="13.7109375" customWidth="1"/>
    <col min="4112" max="4112" width="12.85546875" customWidth="1"/>
    <col min="4113" max="4113" width="11.7109375" bestFit="1" customWidth="1"/>
    <col min="4114" max="4114" width="14" bestFit="1" customWidth="1"/>
    <col min="4116" max="4116" width="19.85546875" bestFit="1" customWidth="1"/>
    <col min="4117" max="4117" width="13" customWidth="1"/>
    <col min="4118" max="4118" width="12.5703125" customWidth="1"/>
    <col min="4119" max="4119" width="12" bestFit="1" customWidth="1"/>
    <col min="4120" max="4120" width="12.5703125" customWidth="1"/>
    <col min="4122" max="4122" width="19.85546875" bestFit="1" customWidth="1"/>
    <col min="4123" max="4123" width="13.28515625" customWidth="1"/>
    <col min="4124" max="4124" width="12.28515625" customWidth="1"/>
    <col min="4125" max="4125" width="11.7109375" bestFit="1" customWidth="1"/>
    <col min="4126" max="4126" width="11.42578125" customWidth="1"/>
    <col min="4128" max="4128" width="20.140625" bestFit="1" customWidth="1"/>
    <col min="4129" max="4130" width="12.28515625" customWidth="1"/>
    <col min="4131" max="4131" width="9" bestFit="1" customWidth="1"/>
    <col min="4132" max="4132" width="11.85546875" bestFit="1" customWidth="1"/>
    <col min="4134" max="4134" width="15" customWidth="1"/>
    <col min="4344" max="4352" width="0" hidden="1" customWidth="1"/>
    <col min="4354" max="4354" width="20.28515625" bestFit="1" customWidth="1"/>
    <col min="4355" max="4355" width="13.28515625" customWidth="1"/>
    <col min="4356" max="4356" width="12.42578125" bestFit="1" customWidth="1"/>
    <col min="4357" max="4357" width="11.7109375" bestFit="1" customWidth="1"/>
    <col min="4358" max="4358" width="14.7109375" bestFit="1" customWidth="1"/>
    <col min="4360" max="4360" width="20.28515625" bestFit="1" customWidth="1"/>
    <col min="4361" max="4361" width="21" customWidth="1"/>
    <col min="4362" max="4362" width="12.85546875" customWidth="1"/>
    <col min="4363" max="4363" width="11.7109375" bestFit="1" customWidth="1"/>
    <col min="4364" max="4364" width="13.5703125" bestFit="1" customWidth="1"/>
    <col min="4366" max="4366" width="23.85546875" bestFit="1" customWidth="1"/>
    <col min="4367" max="4367" width="13.7109375" customWidth="1"/>
    <col min="4368" max="4368" width="12.85546875" customWidth="1"/>
    <col min="4369" max="4369" width="11.7109375" bestFit="1" customWidth="1"/>
    <col min="4370" max="4370" width="14" bestFit="1" customWidth="1"/>
    <col min="4372" max="4372" width="19.85546875" bestFit="1" customWidth="1"/>
    <col min="4373" max="4373" width="13" customWidth="1"/>
    <col min="4374" max="4374" width="12.5703125" customWidth="1"/>
    <col min="4375" max="4375" width="12" bestFit="1" customWidth="1"/>
    <col min="4376" max="4376" width="12.5703125" customWidth="1"/>
    <col min="4378" max="4378" width="19.85546875" bestFit="1" customWidth="1"/>
    <col min="4379" max="4379" width="13.28515625" customWidth="1"/>
    <col min="4380" max="4380" width="12.28515625" customWidth="1"/>
    <col min="4381" max="4381" width="11.7109375" bestFit="1" customWidth="1"/>
    <col min="4382" max="4382" width="11.42578125" customWidth="1"/>
    <col min="4384" max="4384" width="20.140625" bestFit="1" customWidth="1"/>
    <col min="4385" max="4386" width="12.28515625" customWidth="1"/>
    <col min="4387" max="4387" width="9" bestFit="1" customWidth="1"/>
    <col min="4388" max="4388" width="11.85546875" bestFit="1" customWidth="1"/>
    <col min="4390" max="4390" width="15" customWidth="1"/>
    <col min="4600" max="4608" width="0" hidden="1" customWidth="1"/>
    <col min="4610" max="4610" width="20.28515625" bestFit="1" customWidth="1"/>
    <col min="4611" max="4611" width="13.28515625" customWidth="1"/>
    <col min="4612" max="4612" width="12.42578125" bestFit="1" customWidth="1"/>
    <col min="4613" max="4613" width="11.7109375" bestFit="1" customWidth="1"/>
    <col min="4614" max="4614" width="14.7109375" bestFit="1" customWidth="1"/>
    <col min="4616" max="4616" width="20.28515625" bestFit="1" customWidth="1"/>
    <col min="4617" max="4617" width="21" customWidth="1"/>
    <col min="4618" max="4618" width="12.85546875" customWidth="1"/>
    <col min="4619" max="4619" width="11.7109375" bestFit="1" customWidth="1"/>
    <col min="4620" max="4620" width="13.5703125" bestFit="1" customWidth="1"/>
    <col min="4622" max="4622" width="23.85546875" bestFit="1" customWidth="1"/>
    <col min="4623" max="4623" width="13.7109375" customWidth="1"/>
    <col min="4624" max="4624" width="12.85546875" customWidth="1"/>
    <col min="4625" max="4625" width="11.7109375" bestFit="1" customWidth="1"/>
    <col min="4626" max="4626" width="14" bestFit="1" customWidth="1"/>
    <col min="4628" max="4628" width="19.85546875" bestFit="1" customWidth="1"/>
    <col min="4629" max="4629" width="13" customWidth="1"/>
    <col min="4630" max="4630" width="12.5703125" customWidth="1"/>
    <col min="4631" max="4631" width="12" bestFit="1" customWidth="1"/>
    <col min="4632" max="4632" width="12.5703125" customWidth="1"/>
    <col min="4634" max="4634" width="19.85546875" bestFit="1" customWidth="1"/>
    <col min="4635" max="4635" width="13.28515625" customWidth="1"/>
    <col min="4636" max="4636" width="12.28515625" customWidth="1"/>
    <col min="4637" max="4637" width="11.7109375" bestFit="1" customWidth="1"/>
    <col min="4638" max="4638" width="11.42578125" customWidth="1"/>
    <col min="4640" max="4640" width="20.140625" bestFit="1" customWidth="1"/>
    <col min="4641" max="4642" width="12.28515625" customWidth="1"/>
    <col min="4643" max="4643" width="9" bestFit="1" customWidth="1"/>
    <col min="4644" max="4644" width="11.85546875" bestFit="1" customWidth="1"/>
    <col min="4646" max="4646" width="15" customWidth="1"/>
    <col min="4856" max="4864" width="0" hidden="1" customWidth="1"/>
    <col min="4866" max="4866" width="20.28515625" bestFit="1" customWidth="1"/>
    <col min="4867" max="4867" width="13.28515625" customWidth="1"/>
    <col min="4868" max="4868" width="12.42578125" bestFit="1" customWidth="1"/>
    <col min="4869" max="4869" width="11.7109375" bestFit="1" customWidth="1"/>
    <col min="4870" max="4870" width="14.7109375" bestFit="1" customWidth="1"/>
    <col min="4872" max="4872" width="20.28515625" bestFit="1" customWidth="1"/>
    <col min="4873" max="4873" width="21" customWidth="1"/>
    <col min="4874" max="4874" width="12.85546875" customWidth="1"/>
    <col min="4875" max="4875" width="11.7109375" bestFit="1" customWidth="1"/>
    <col min="4876" max="4876" width="13.5703125" bestFit="1" customWidth="1"/>
    <col min="4878" max="4878" width="23.85546875" bestFit="1" customWidth="1"/>
    <col min="4879" max="4879" width="13.7109375" customWidth="1"/>
    <col min="4880" max="4880" width="12.85546875" customWidth="1"/>
    <col min="4881" max="4881" width="11.7109375" bestFit="1" customWidth="1"/>
    <col min="4882" max="4882" width="14" bestFit="1" customWidth="1"/>
    <col min="4884" max="4884" width="19.85546875" bestFit="1" customWidth="1"/>
    <col min="4885" max="4885" width="13" customWidth="1"/>
    <col min="4886" max="4886" width="12.5703125" customWidth="1"/>
    <col min="4887" max="4887" width="12" bestFit="1" customWidth="1"/>
    <col min="4888" max="4888" width="12.5703125" customWidth="1"/>
    <col min="4890" max="4890" width="19.85546875" bestFit="1" customWidth="1"/>
    <col min="4891" max="4891" width="13.28515625" customWidth="1"/>
    <col min="4892" max="4892" width="12.28515625" customWidth="1"/>
    <col min="4893" max="4893" width="11.7109375" bestFit="1" customWidth="1"/>
    <col min="4894" max="4894" width="11.42578125" customWidth="1"/>
    <col min="4896" max="4896" width="20.140625" bestFit="1" customWidth="1"/>
    <col min="4897" max="4898" width="12.28515625" customWidth="1"/>
    <col min="4899" max="4899" width="9" bestFit="1" customWidth="1"/>
    <col min="4900" max="4900" width="11.85546875" bestFit="1" customWidth="1"/>
    <col min="4902" max="4902" width="15" customWidth="1"/>
    <col min="5112" max="5120" width="0" hidden="1" customWidth="1"/>
    <col min="5122" max="5122" width="20.28515625" bestFit="1" customWidth="1"/>
    <col min="5123" max="5123" width="13.28515625" customWidth="1"/>
    <col min="5124" max="5124" width="12.42578125" bestFit="1" customWidth="1"/>
    <col min="5125" max="5125" width="11.7109375" bestFit="1" customWidth="1"/>
    <col min="5126" max="5126" width="14.7109375" bestFit="1" customWidth="1"/>
    <col min="5128" max="5128" width="20.28515625" bestFit="1" customWidth="1"/>
    <col min="5129" max="5129" width="21" customWidth="1"/>
    <col min="5130" max="5130" width="12.85546875" customWidth="1"/>
    <col min="5131" max="5131" width="11.7109375" bestFit="1" customWidth="1"/>
    <col min="5132" max="5132" width="13.5703125" bestFit="1" customWidth="1"/>
    <col min="5134" max="5134" width="23.85546875" bestFit="1" customWidth="1"/>
    <col min="5135" max="5135" width="13.7109375" customWidth="1"/>
    <col min="5136" max="5136" width="12.85546875" customWidth="1"/>
    <col min="5137" max="5137" width="11.7109375" bestFit="1" customWidth="1"/>
    <col min="5138" max="5138" width="14" bestFit="1" customWidth="1"/>
    <col min="5140" max="5140" width="19.85546875" bestFit="1" customWidth="1"/>
    <col min="5141" max="5141" width="13" customWidth="1"/>
    <col min="5142" max="5142" width="12.5703125" customWidth="1"/>
    <col min="5143" max="5143" width="12" bestFit="1" customWidth="1"/>
    <col min="5144" max="5144" width="12.5703125" customWidth="1"/>
    <col min="5146" max="5146" width="19.85546875" bestFit="1" customWidth="1"/>
    <col min="5147" max="5147" width="13.28515625" customWidth="1"/>
    <col min="5148" max="5148" width="12.28515625" customWidth="1"/>
    <col min="5149" max="5149" width="11.7109375" bestFit="1" customWidth="1"/>
    <col min="5150" max="5150" width="11.42578125" customWidth="1"/>
    <col min="5152" max="5152" width="20.140625" bestFit="1" customWidth="1"/>
    <col min="5153" max="5154" width="12.28515625" customWidth="1"/>
    <col min="5155" max="5155" width="9" bestFit="1" customWidth="1"/>
    <col min="5156" max="5156" width="11.85546875" bestFit="1" customWidth="1"/>
    <col min="5158" max="5158" width="15" customWidth="1"/>
    <col min="5368" max="5376" width="0" hidden="1" customWidth="1"/>
    <col min="5378" max="5378" width="20.28515625" bestFit="1" customWidth="1"/>
    <col min="5379" max="5379" width="13.28515625" customWidth="1"/>
    <col min="5380" max="5380" width="12.42578125" bestFit="1" customWidth="1"/>
    <col min="5381" max="5381" width="11.7109375" bestFit="1" customWidth="1"/>
    <col min="5382" max="5382" width="14.7109375" bestFit="1" customWidth="1"/>
    <col min="5384" max="5384" width="20.28515625" bestFit="1" customWidth="1"/>
    <col min="5385" max="5385" width="21" customWidth="1"/>
    <col min="5386" max="5386" width="12.85546875" customWidth="1"/>
    <col min="5387" max="5387" width="11.7109375" bestFit="1" customWidth="1"/>
    <col min="5388" max="5388" width="13.5703125" bestFit="1" customWidth="1"/>
    <col min="5390" max="5390" width="23.85546875" bestFit="1" customWidth="1"/>
    <col min="5391" max="5391" width="13.7109375" customWidth="1"/>
    <col min="5392" max="5392" width="12.85546875" customWidth="1"/>
    <col min="5393" max="5393" width="11.7109375" bestFit="1" customWidth="1"/>
    <col min="5394" max="5394" width="14" bestFit="1" customWidth="1"/>
    <col min="5396" max="5396" width="19.85546875" bestFit="1" customWidth="1"/>
    <col min="5397" max="5397" width="13" customWidth="1"/>
    <col min="5398" max="5398" width="12.5703125" customWidth="1"/>
    <col min="5399" max="5399" width="12" bestFit="1" customWidth="1"/>
    <col min="5400" max="5400" width="12.5703125" customWidth="1"/>
    <col min="5402" max="5402" width="19.85546875" bestFit="1" customWidth="1"/>
    <col min="5403" max="5403" width="13.28515625" customWidth="1"/>
    <col min="5404" max="5404" width="12.28515625" customWidth="1"/>
    <col min="5405" max="5405" width="11.7109375" bestFit="1" customWidth="1"/>
    <col min="5406" max="5406" width="11.42578125" customWidth="1"/>
    <col min="5408" max="5408" width="20.140625" bestFit="1" customWidth="1"/>
    <col min="5409" max="5410" width="12.28515625" customWidth="1"/>
    <col min="5411" max="5411" width="9" bestFit="1" customWidth="1"/>
    <col min="5412" max="5412" width="11.85546875" bestFit="1" customWidth="1"/>
    <col min="5414" max="5414" width="15" customWidth="1"/>
    <col min="5624" max="5632" width="0" hidden="1" customWidth="1"/>
    <col min="5634" max="5634" width="20.28515625" bestFit="1" customWidth="1"/>
    <col min="5635" max="5635" width="13.28515625" customWidth="1"/>
    <col min="5636" max="5636" width="12.42578125" bestFit="1" customWidth="1"/>
    <col min="5637" max="5637" width="11.7109375" bestFit="1" customWidth="1"/>
    <col min="5638" max="5638" width="14.7109375" bestFit="1" customWidth="1"/>
    <col min="5640" max="5640" width="20.28515625" bestFit="1" customWidth="1"/>
    <col min="5641" max="5641" width="21" customWidth="1"/>
    <col min="5642" max="5642" width="12.85546875" customWidth="1"/>
    <col min="5643" max="5643" width="11.7109375" bestFit="1" customWidth="1"/>
    <col min="5644" max="5644" width="13.5703125" bestFit="1" customWidth="1"/>
    <col min="5646" max="5646" width="23.85546875" bestFit="1" customWidth="1"/>
    <col min="5647" max="5647" width="13.7109375" customWidth="1"/>
    <col min="5648" max="5648" width="12.85546875" customWidth="1"/>
    <col min="5649" max="5649" width="11.7109375" bestFit="1" customWidth="1"/>
    <col min="5650" max="5650" width="14" bestFit="1" customWidth="1"/>
    <col min="5652" max="5652" width="19.85546875" bestFit="1" customWidth="1"/>
    <col min="5653" max="5653" width="13" customWidth="1"/>
    <col min="5654" max="5654" width="12.5703125" customWidth="1"/>
    <col min="5655" max="5655" width="12" bestFit="1" customWidth="1"/>
    <col min="5656" max="5656" width="12.5703125" customWidth="1"/>
    <col min="5658" max="5658" width="19.85546875" bestFit="1" customWidth="1"/>
    <col min="5659" max="5659" width="13.28515625" customWidth="1"/>
    <col min="5660" max="5660" width="12.28515625" customWidth="1"/>
    <col min="5661" max="5661" width="11.7109375" bestFit="1" customWidth="1"/>
    <col min="5662" max="5662" width="11.42578125" customWidth="1"/>
    <col min="5664" max="5664" width="20.140625" bestFit="1" customWidth="1"/>
    <col min="5665" max="5666" width="12.28515625" customWidth="1"/>
    <col min="5667" max="5667" width="9" bestFit="1" customWidth="1"/>
    <col min="5668" max="5668" width="11.85546875" bestFit="1" customWidth="1"/>
    <col min="5670" max="5670" width="15" customWidth="1"/>
    <col min="5880" max="5888" width="0" hidden="1" customWidth="1"/>
    <col min="5890" max="5890" width="20.28515625" bestFit="1" customWidth="1"/>
    <col min="5891" max="5891" width="13.28515625" customWidth="1"/>
    <col min="5892" max="5892" width="12.42578125" bestFit="1" customWidth="1"/>
    <col min="5893" max="5893" width="11.7109375" bestFit="1" customWidth="1"/>
    <col min="5894" max="5894" width="14.7109375" bestFit="1" customWidth="1"/>
    <col min="5896" max="5896" width="20.28515625" bestFit="1" customWidth="1"/>
    <col min="5897" max="5897" width="21" customWidth="1"/>
    <col min="5898" max="5898" width="12.85546875" customWidth="1"/>
    <col min="5899" max="5899" width="11.7109375" bestFit="1" customWidth="1"/>
    <col min="5900" max="5900" width="13.5703125" bestFit="1" customWidth="1"/>
    <col min="5902" max="5902" width="23.85546875" bestFit="1" customWidth="1"/>
    <col min="5903" max="5903" width="13.7109375" customWidth="1"/>
    <col min="5904" max="5904" width="12.85546875" customWidth="1"/>
    <col min="5905" max="5905" width="11.7109375" bestFit="1" customWidth="1"/>
    <col min="5906" max="5906" width="14" bestFit="1" customWidth="1"/>
    <col min="5908" max="5908" width="19.85546875" bestFit="1" customWidth="1"/>
    <col min="5909" max="5909" width="13" customWidth="1"/>
    <col min="5910" max="5910" width="12.5703125" customWidth="1"/>
    <col min="5911" max="5911" width="12" bestFit="1" customWidth="1"/>
    <col min="5912" max="5912" width="12.5703125" customWidth="1"/>
    <col min="5914" max="5914" width="19.85546875" bestFit="1" customWidth="1"/>
    <col min="5915" max="5915" width="13.28515625" customWidth="1"/>
    <col min="5916" max="5916" width="12.28515625" customWidth="1"/>
    <col min="5917" max="5917" width="11.7109375" bestFit="1" customWidth="1"/>
    <col min="5918" max="5918" width="11.42578125" customWidth="1"/>
    <col min="5920" max="5920" width="20.140625" bestFit="1" customWidth="1"/>
    <col min="5921" max="5922" width="12.28515625" customWidth="1"/>
    <col min="5923" max="5923" width="9" bestFit="1" customWidth="1"/>
    <col min="5924" max="5924" width="11.85546875" bestFit="1" customWidth="1"/>
    <col min="5926" max="5926" width="15" customWidth="1"/>
    <col min="6136" max="6144" width="0" hidden="1" customWidth="1"/>
    <col min="6146" max="6146" width="20.28515625" bestFit="1" customWidth="1"/>
    <col min="6147" max="6147" width="13.28515625" customWidth="1"/>
    <col min="6148" max="6148" width="12.42578125" bestFit="1" customWidth="1"/>
    <col min="6149" max="6149" width="11.7109375" bestFit="1" customWidth="1"/>
    <col min="6150" max="6150" width="14.7109375" bestFit="1" customWidth="1"/>
    <col min="6152" max="6152" width="20.28515625" bestFit="1" customWidth="1"/>
    <col min="6153" max="6153" width="21" customWidth="1"/>
    <col min="6154" max="6154" width="12.85546875" customWidth="1"/>
    <col min="6155" max="6155" width="11.7109375" bestFit="1" customWidth="1"/>
    <col min="6156" max="6156" width="13.5703125" bestFit="1" customWidth="1"/>
    <col min="6158" max="6158" width="23.85546875" bestFit="1" customWidth="1"/>
    <col min="6159" max="6159" width="13.7109375" customWidth="1"/>
    <col min="6160" max="6160" width="12.85546875" customWidth="1"/>
    <col min="6161" max="6161" width="11.7109375" bestFit="1" customWidth="1"/>
    <col min="6162" max="6162" width="14" bestFit="1" customWidth="1"/>
    <col min="6164" max="6164" width="19.85546875" bestFit="1" customWidth="1"/>
    <col min="6165" max="6165" width="13" customWidth="1"/>
    <col min="6166" max="6166" width="12.5703125" customWidth="1"/>
    <col min="6167" max="6167" width="12" bestFit="1" customWidth="1"/>
    <col min="6168" max="6168" width="12.5703125" customWidth="1"/>
    <col min="6170" max="6170" width="19.85546875" bestFit="1" customWidth="1"/>
    <col min="6171" max="6171" width="13.28515625" customWidth="1"/>
    <col min="6172" max="6172" width="12.28515625" customWidth="1"/>
    <col min="6173" max="6173" width="11.7109375" bestFit="1" customWidth="1"/>
    <col min="6174" max="6174" width="11.42578125" customWidth="1"/>
    <col min="6176" max="6176" width="20.140625" bestFit="1" customWidth="1"/>
    <col min="6177" max="6178" width="12.28515625" customWidth="1"/>
    <col min="6179" max="6179" width="9" bestFit="1" customWidth="1"/>
    <col min="6180" max="6180" width="11.85546875" bestFit="1" customWidth="1"/>
    <col min="6182" max="6182" width="15" customWidth="1"/>
    <col min="6392" max="6400" width="0" hidden="1" customWidth="1"/>
    <col min="6402" max="6402" width="20.28515625" bestFit="1" customWidth="1"/>
    <col min="6403" max="6403" width="13.28515625" customWidth="1"/>
    <col min="6404" max="6404" width="12.42578125" bestFit="1" customWidth="1"/>
    <col min="6405" max="6405" width="11.7109375" bestFit="1" customWidth="1"/>
    <col min="6406" max="6406" width="14.7109375" bestFit="1" customWidth="1"/>
    <col min="6408" max="6408" width="20.28515625" bestFit="1" customWidth="1"/>
    <col min="6409" max="6409" width="21" customWidth="1"/>
    <col min="6410" max="6410" width="12.85546875" customWidth="1"/>
    <col min="6411" max="6411" width="11.7109375" bestFit="1" customWidth="1"/>
    <col min="6412" max="6412" width="13.5703125" bestFit="1" customWidth="1"/>
    <col min="6414" max="6414" width="23.85546875" bestFit="1" customWidth="1"/>
    <col min="6415" max="6415" width="13.7109375" customWidth="1"/>
    <col min="6416" max="6416" width="12.85546875" customWidth="1"/>
    <col min="6417" max="6417" width="11.7109375" bestFit="1" customWidth="1"/>
    <col min="6418" max="6418" width="14" bestFit="1" customWidth="1"/>
    <col min="6420" max="6420" width="19.85546875" bestFit="1" customWidth="1"/>
    <col min="6421" max="6421" width="13" customWidth="1"/>
    <col min="6422" max="6422" width="12.5703125" customWidth="1"/>
    <col min="6423" max="6423" width="12" bestFit="1" customWidth="1"/>
    <col min="6424" max="6424" width="12.5703125" customWidth="1"/>
    <col min="6426" max="6426" width="19.85546875" bestFit="1" customWidth="1"/>
    <col min="6427" max="6427" width="13.28515625" customWidth="1"/>
    <col min="6428" max="6428" width="12.28515625" customWidth="1"/>
    <col min="6429" max="6429" width="11.7109375" bestFit="1" customWidth="1"/>
    <col min="6430" max="6430" width="11.42578125" customWidth="1"/>
    <col min="6432" max="6432" width="20.140625" bestFit="1" customWidth="1"/>
    <col min="6433" max="6434" width="12.28515625" customWidth="1"/>
    <col min="6435" max="6435" width="9" bestFit="1" customWidth="1"/>
    <col min="6436" max="6436" width="11.85546875" bestFit="1" customWidth="1"/>
    <col min="6438" max="6438" width="15" customWidth="1"/>
    <col min="6648" max="6656" width="0" hidden="1" customWidth="1"/>
    <col min="6658" max="6658" width="20.28515625" bestFit="1" customWidth="1"/>
    <col min="6659" max="6659" width="13.28515625" customWidth="1"/>
    <col min="6660" max="6660" width="12.42578125" bestFit="1" customWidth="1"/>
    <col min="6661" max="6661" width="11.7109375" bestFit="1" customWidth="1"/>
    <col min="6662" max="6662" width="14.7109375" bestFit="1" customWidth="1"/>
    <col min="6664" max="6664" width="20.28515625" bestFit="1" customWidth="1"/>
    <col min="6665" max="6665" width="21" customWidth="1"/>
    <col min="6666" max="6666" width="12.85546875" customWidth="1"/>
    <col min="6667" max="6667" width="11.7109375" bestFit="1" customWidth="1"/>
    <col min="6668" max="6668" width="13.5703125" bestFit="1" customWidth="1"/>
    <col min="6670" max="6670" width="23.85546875" bestFit="1" customWidth="1"/>
    <col min="6671" max="6671" width="13.7109375" customWidth="1"/>
    <col min="6672" max="6672" width="12.85546875" customWidth="1"/>
    <col min="6673" max="6673" width="11.7109375" bestFit="1" customWidth="1"/>
    <col min="6674" max="6674" width="14" bestFit="1" customWidth="1"/>
    <col min="6676" max="6676" width="19.85546875" bestFit="1" customWidth="1"/>
    <col min="6677" max="6677" width="13" customWidth="1"/>
    <col min="6678" max="6678" width="12.5703125" customWidth="1"/>
    <col min="6679" max="6679" width="12" bestFit="1" customWidth="1"/>
    <col min="6680" max="6680" width="12.5703125" customWidth="1"/>
    <col min="6682" max="6682" width="19.85546875" bestFit="1" customWidth="1"/>
    <col min="6683" max="6683" width="13.28515625" customWidth="1"/>
    <col min="6684" max="6684" width="12.28515625" customWidth="1"/>
    <col min="6685" max="6685" width="11.7109375" bestFit="1" customWidth="1"/>
    <col min="6686" max="6686" width="11.42578125" customWidth="1"/>
    <col min="6688" max="6688" width="20.140625" bestFit="1" customWidth="1"/>
    <col min="6689" max="6690" width="12.28515625" customWidth="1"/>
    <col min="6691" max="6691" width="9" bestFit="1" customWidth="1"/>
    <col min="6692" max="6692" width="11.85546875" bestFit="1" customWidth="1"/>
    <col min="6694" max="6694" width="15" customWidth="1"/>
    <col min="6904" max="6912" width="0" hidden="1" customWidth="1"/>
    <col min="6914" max="6914" width="20.28515625" bestFit="1" customWidth="1"/>
    <col min="6915" max="6915" width="13.28515625" customWidth="1"/>
    <col min="6916" max="6916" width="12.42578125" bestFit="1" customWidth="1"/>
    <col min="6917" max="6917" width="11.7109375" bestFit="1" customWidth="1"/>
    <col min="6918" max="6918" width="14.7109375" bestFit="1" customWidth="1"/>
    <col min="6920" max="6920" width="20.28515625" bestFit="1" customWidth="1"/>
    <col min="6921" max="6921" width="21" customWidth="1"/>
    <col min="6922" max="6922" width="12.85546875" customWidth="1"/>
    <col min="6923" max="6923" width="11.7109375" bestFit="1" customWidth="1"/>
    <col min="6924" max="6924" width="13.5703125" bestFit="1" customWidth="1"/>
    <col min="6926" max="6926" width="23.85546875" bestFit="1" customWidth="1"/>
    <col min="6927" max="6927" width="13.7109375" customWidth="1"/>
    <col min="6928" max="6928" width="12.85546875" customWidth="1"/>
    <col min="6929" max="6929" width="11.7109375" bestFit="1" customWidth="1"/>
    <col min="6930" max="6930" width="14" bestFit="1" customWidth="1"/>
    <col min="6932" max="6932" width="19.85546875" bestFit="1" customWidth="1"/>
    <col min="6933" max="6933" width="13" customWidth="1"/>
    <col min="6934" max="6934" width="12.5703125" customWidth="1"/>
    <col min="6935" max="6935" width="12" bestFit="1" customWidth="1"/>
    <col min="6936" max="6936" width="12.5703125" customWidth="1"/>
    <col min="6938" max="6938" width="19.85546875" bestFit="1" customWidth="1"/>
    <col min="6939" max="6939" width="13.28515625" customWidth="1"/>
    <col min="6940" max="6940" width="12.28515625" customWidth="1"/>
    <col min="6941" max="6941" width="11.7109375" bestFit="1" customWidth="1"/>
    <col min="6942" max="6942" width="11.42578125" customWidth="1"/>
    <col min="6944" max="6944" width="20.140625" bestFit="1" customWidth="1"/>
    <col min="6945" max="6946" width="12.28515625" customWidth="1"/>
    <col min="6947" max="6947" width="9" bestFit="1" customWidth="1"/>
    <col min="6948" max="6948" width="11.85546875" bestFit="1" customWidth="1"/>
    <col min="6950" max="6950" width="15" customWidth="1"/>
    <col min="7160" max="7168" width="0" hidden="1" customWidth="1"/>
    <col min="7170" max="7170" width="20.28515625" bestFit="1" customWidth="1"/>
    <col min="7171" max="7171" width="13.28515625" customWidth="1"/>
    <col min="7172" max="7172" width="12.42578125" bestFit="1" customWidth="1"/>
    <col min="7173" max="7173" width="11.7109375" bestFit="1" customWidth="1"/>
    <col min="7174" max="7174" width="14.7109375" bestFit="1" customWidth="1"/>
    <col min="7176" max="7176" width="20.28515625" bestFit="1" customWidth="1"/>
    <col min="7177" max="7177" width="21" customWidth="1"/>
    <col min="7178" max="7178" width="12.85546875" customWidth="1"/>
    <col min="7179" max="7179" width="11.7109375" bestFit="1" customWidth="1"/>
    <col min="7180" max="7180" width="13.5703125" bestFit="1" customWidth="1"/>
    <col min="7182" max="7182" width="23.85546875" bestFit="1" customWidth="1"/>
    <col min="7183" max="7183" width="13.7109375" customWidth="1"/>
    <col min="7184" max="7184" width="12.85546875" customWidth="1"/>
    <col min="7185" max="7185" width="11.7109375" bestFit="1" customWidth="1"/>
    <col min="7186" max="7186" width="14" bestFit="1" customWidth="1"/>
    <col min="7188" max="7188" width="19.85546875" bestFit="1" customWidth="1"/>
    <col min="7189" max="7189" width="13" customWidth="1"/>
    <col min="7190" max="7190" width="12.5703125" customWidth="1"/>
    <col min="7191" max="7191" width="12" bestFit="1" customWidth="1"/>
    <col min="7192" max="7192" width="12.5703125" customWidth="1"/>
    <col min="7194" max="7194" width="19.85546875" bestFit="1" customWidth="1"/>
    <col min="7195" max="7195" width="13.28515625" customWidth="1"/>
    <col min="7196" max="7196" width="12.28515625" customWidth="1"/>
    <col min="7197" max="7197" width="11.7109375" bestFit="1" customWidth="1"/>
    <col min="7198" max="7198" width="11.42578125" customWidth="1"/>
    <col min="7200" max="7200" width="20.140625" bestFit="1" customWidth="1"/>
    <col min="7201" max="7202" width="12.28515625" customWidth="1"/>
    <col min="7203" max="7203" width="9" bestFit="1" customWidth="1"/>
    <col min="7204" max="7204" width="11.85546875" bestFit="1" customWidth="1"/>
    <col min="7206" max="7206" width="15" customWidth="1"/>
    <col min="7416" max="7424" width="0" hidden="1" customWidth="1"/>
    <col min="7426" max="7426" width="20.28515625" bestFit="1" customWidth="1"/>
    <col min="7427" max="7427" width="13.28515625" customWidth="1"/>
    <col min="7428" max="7428" width="12.42578125" bestFit="1" customWidth="1"/>
    <col min="7429" max="7429" width="11.7109375" bestFit="1" customWidth="1"/>
    <col min="7430" max="7430" width="14.7109375" bestFit="1" customWidth="1"/>
    <col min="7432" max="7432" width="20.28515625" bestFit="1" customWidth="1"/>
    <col min="7433" max="7433" width="21" customWidth="1"/>
    <col min="7434" max="7434" width="12.85546875" customWidth="1"/>
    <col min="7435" max="7435" width="11.7109375" bestFit="1" customWidth="1"/>
    <col min="7436" max="7436" width="13.5703125" bestFit="1" customWidth="1"/>
    <col min="7438" max="7438" width="23.85546875" bestFit="1" customWidth="1"/>
    <col min="7439" max="7439" width="13.7109375" customWidth="1"/>
    <col min="7440" max="7440" width="12.85546875" customWidth="1"/>
    <col min="7441" max="7441" width="11.7109375" bestFit="1" customWidth="1"/>
    <col min="7442" max="7442" width="14" bestFit="1" customWidth="1"/>
    <col min="7444" max="7444" width="19.85546875" bestFit="1" customWidth="1"/>
    <col min="7445" max="7445" width="13" customWidth="1"/>
    <col min="7446" max="7446" width="12.5703125" customWidth="1"/>
    <col min="7447" max="7447" width="12" bestFit="1" customWidth="1"/>
    <col min="7448" max="7448" width="12.5703125" customWidth="1"/>
    <col min="7450" max="7450" width="19.85546875" bestFit="1" customWidth="1"/>
    <col min="7451" max="7451" width="13.28515625" customWidth="1"/>
    <col min="7452" max="7452" width="12.28515625" customWidth="1"/>
    <col min="7453" max="7453" width="11.7109375" bestFit="1" customWidth="1"/>
    <col min="7454" max="7454" width="11.42578125" customWidth="1"/>
    <col min="7456" max="7456" width="20.140625" bestFit="1" customWidth="1"/>
    <col min="7457" max="7458" width="12.28515625" customWidth="1"/>
    <col min="7459" max="7459" width="9" bestFit="1" customWidth="1"/>
    <col min="7460" max="7460" width="11.85546875" bestFit="1" customWidth="1"/>
    <col min="7462" max="7462" width="15" customWidth="1"/>
    <col min="7672" max="7680" width="0" hidden="1" customWidth="1"/>
    <col min="7682" max="7682" width="20.28515625" bestFit="1" customWidth="1"/>
    <col min="7683" max="7683" width="13.28515625" customWidth="1"/>
    <col min="7684" max="7684" width="12.42578125" bestFit="1" customWidth="1"/>
    <col min="7685" max="7685" width="11.7109375" bestFit="1" customWidth="1"/>
    <col min="7686" max="7686" width="14.7109375" bestFit="1" customWidth="1"/>
    <col min="7688" max="7688" width="20.28515625" bestFit="1" customWidth="1"/>
    <col min="7689" max="7689" width="21" customWidth="1"/>
    <col min="7690" max="7690" width="12.85546875" customWidth="1"/>
    <col min="7691" max="7691" width="11.7109375" bestFit="1" customWidth="1"/>
    <col min="7692" max="7692" width="13.5703125" bestFit="1" customWidth="1"/>
    <col min="7694" max="7694" width="23.85546875" bestFit="1" customWidth="1"/>
    <col min="7695" max="7695" width="13.7109375" customWidth="1"/>
    <col min="7696" max="7696" width="12.85546875" customWidth="1"/>
    <col min="7697" max="7697" width="11.7109375" bestFit="1" customWidth="1"/>
    <col min="7698" max="7698" width="14" bestFit="1" customWidth="1"/>
    <col min="7700" max="7700" width="19.85546875" bestFit="1" customWidth="1"/>
    <col min="7701" max="7701" width="13" customWidth="1"/>
    <col min="7702" max="7702" width="12.5703125" customWidth="1"/>
    <col min="7703" max="7703" width="12" bestFit="1" customWidth="1"/>
    <col min="7704" max="7704" width="12.5703125" customWidth="1"/>
    <col min="7706" max="7706" width="19.85546875" bestFit="1" customWidth="1"/>
    <col min="7707" max="7707" width="13.28515625" customWidth="1"/>
    <col min="7708" max="7708" width="12.28515625" customWidth="1"/>
    <col min="7709" max="7709" width="11.7109375" bestFit="1" customWidth="1"/>
    <col min="7710" max="7710" width="11.42578125" customWidth="1"/>
    <col min="7712" max="7712" width="20.140625" bestFit="1" customWidth="1"/>
    <col min="7713" max="7714" width="12.28515625" customWidth="1"/>
    <col min="7715" max="7715" width="9" bestFit="1" customWidth="1"/>
    <col min="7716" max="7716" width="11.85546875" bestFit="1" customWidth="1"/>
    <col min="7718" max="7718" width="15" customWidth="1"/>
    <col min="7928" max="7936" width="0" hidden="1" customWidth="1"/>
    <col min="7938" max="7938" width="20.28515625" bestFit="1" customWidth="1"/>
    <col min="7939" max="7939" width="13.28515625" customWidth="1"/>
    <col min="7940" max="7940" width="12.42578125" bestFit="1" customWidth="1"/>
    <col min="7941" max="7941" width="11.7109375" bestFit="1" customWidth="1"/>
    <col min="7942" max="7942" width="14.7109375" bestFit="1" customWidth="1"/>
    <col min="7944" max="7944" width="20.28515625" bestFit="1" customWidth="1"/>
    <col min="7945" max="7945" width="21" customWidth="1"/>
    <col min="7946" max="7946" width="12.85546875" customWidth="1"/>
    <col min="7947" max="7947" width="11.7109375" bestFit="1" customWidth="1"/>
    <col min="7948" max="7948" width="13.5703125" bestFit="1" customWidth="1"/>
    <col min="7950" max="7950" width="23.85546875" bestFit="1" customWidth="1"/>
    <col min="7951" max="7951" width="13.7109375" customWidth="1"/>
    <col min="7952" max="7952" width="12.85546875" customWidth="1"/>
    <col min="7953" max="7953" width="11.7109375" bestFit="1" customWidth="1"/>
    <col min="7954" max="7954" width="14" bestFit="1" customWidth="1"/>
    <col min="7956" max="7956" width="19.85546875" bestFit="1" customWidth="1"/>
    <col min="7957" max="7957" width="13" customWidth="1"/>
    <col min="7958" max="7958" width="12.5703125" customWidth="1"/>
    <col min="7959" max="7959" width="12" bestFit="1" customWidth="1"/>
    <col min="7960" max="7960" width="12.5703125" customWidth="1"/>
    <col min="7962" max="7962" width="19.85546875" bestFit="1" customWidth="1"/>
    <col min="7963" max="7963" width="13.28515625" customWidth="1"/>
    <col min="7964" max="7964" width="12.28515625" customWidth="1"/>
    <col min="7965" max="7965" width="11.7109375" bestFit="1" customWidth="1"/>
    <col min="7966" max="7966" width="11.42578125" customWidth="1"/>
    <col min="7968" max="7968" width="20.140625" bestFit="1" customWidth="1"/>
    <col min="7969" max="7970" width="12.28515625" customWidth="1"/>
    <col min="7971" max="7971" width="9" bestFit="1" customWidth="1"/>
    <col min="7972" max="7972" width="11.85546875" bestFit="1" customWidth="1"/>
    <col min="7974" max="7974" width="15" customWidth="1"/>
    <col min="8184" max="8192" width="0" hidden="1" customWidth="1"/>
    <col min="8194" max="8194" width="20.28515625" bestFit="1" customWidth="1"/>
    <col min="8195" max="8195" width="13.28515625" customWidth="1"/>
    <col min="8196" max="8196" width="12.42578125" bestFit="1" customWidth="1"/>
    <col min="8197" max="8197" width="11.7109375" bestFit="1" customWidth="1"/>
    <col min="8198" max="8198" width="14.7109375" bestFit="1" customWidth="1"/>
    <col min="8200" max="8200" width="20.28515625" bestFit="1" customWidth="1"/>
    <col min="8201" max="8201" width="21" customWidth="1"/>
    <col min="8202" max="8202" width="12.85546875" customWidth="1"/>
    <col min="8203" max="8203" width="11.7109375" bestFit="1" customWidth="1"/>
    <col min="8204" max="8204" width="13.5703125" bestFit="1" customWidth="1"/>
    <col min="8206" max="8206" width="23.85546875" bestFit="1" customWidth="1"/>
    <col min="8207" max="8207" width="13.7109375" customWidth="1"/>
    <col min="8208" max="8208" width="12.85546875" customWidth="1"/>
    <col min="8209" max="8209" width="11.7109375" bestFit="1" customWidth="1"/>
    <col min="8210" max="8210" width="14" bestFit="1" customWidth="1"/>
    <col min="8212" max="8212" width="19.85546875" bestFit="1" customWidth="1"/>
    <col min="8213" max="8213" width="13" customWidth="1"/>
    <col min="8214" max="8214" width="12.5703125" customWidth="1"/>
    <col min="8215" max="8215" width="12" bestFit="1" customWidth="1"/>
    <col min="8216" max="8216" width="12.5703125" customWidth="1"/>
    <col min="8218" max="8218" width="19.85546875" bestFit="1" customWidth="1"/>
    <col min="8219" max="8219" width="13.28515625" customWidth="1"/>
    <col min="8220" max="8220" width="12.28515625" customWidth="1"/>
    <col min="8221" max="8221" width="11.7109375" bestFit="1" customWidth="1"/>
    <col min="8222" max="8222" width="11.42578125" customWidth="1"/>
    <col min="8224" max="8224" width="20.140625" bestFit="1" customWidth="1"/>
    <col min="8225" max="8226" width="12.28515625" customWidth="1"/>
    <col min="8227" max="8227" width="9" bestFit="1" customWidth="1"/>
    <col min="8228" max="8228" width="11.85546875" bestFit="1" customWidth="1"/>
    <col min="8230" max="8230" width="15" customWidth="1"/>
    <col min="8440" max="8448" width="0" hidden="1" customWidth="1"/>
    <col min="8450" max="8450" width="20.28515625" bestFit="1" customWidth="1"/>
    <col min="8451" max="8451" width="13.28515625" customWidth="1"/>
    <col min="8452" max="8452" width="12.42578125" bestFit="1" customWidth="1"/>
    <col min="8453" max="8453" width="11.7109375" bestFit="1" customWidth="1"/>
    <col min="8454" max="8454" width="14.7109375" bestFit="1" customWidth="1"/>
    <col min="8456" max="8456" width="20.28515625" bestFit="1" customWidth="1"/>
    <col min="8457" max="8457" width="21" customWidth="1"/>
    <col min="8458" max="8458" width="12.85546875" customWidth="1"/>
    <col min="8459" max="8459" width="11.7109375" bestFit="1" customWidth="1"/>
    <col min="8460" max="8460" width="13.5703125" bestFit="1" customWidth="1"/>
    <col min="8462" max="8462" width="23.85546875" bestFit="1" customWidth="1"/>
    <col min="8463" max="8463" width="13.7109375" customWidth="1"/>
    <col min="8464" max="8464" width="12.85546875" customWidth="1"/>
    <col min="8465" max="8465" width="11.7109375" bestFit="1" customWidth="1"/>
    <col min="8466" max="8466" width="14" bestFit="1" customWidth="1"/>
    <col min="8468" max="8468" width="19.85546875" bestFit="1" customWidth="1"/>
    <col min="8469" max="8469" width="13" customWidth="1"/>
    <col min="8470" max="8470" width="12.5703125" customWidth="1"/>
    <col min="8471" max="8471" width="12" bestFit="1" customWidth="1"/>
    <col min="8472" max="8472" width="12.5703125" customWidth="1"/>
    <col min="8474" max="8474" width="19.85546875" bestFit="1" customWidth="1"/>
    <col min="8475" max="8475" width="13.28515625" customWidth="1"/>
    <col min="8476" max="8476" width="12.28515625" customWidth="1"/>
    <col min="8477" max="8477" width="11.7109375" bestFit="1" customWidth="1"/>
    <col min="8478" max="8478" width="11.42578125" customWidth="1"/>
    <col min="8480" max="8480" width="20.140625" bestFit="1" customWidth="1"/>
    <col min="8481" max="8482" width="12.28515625" customWidth="1"/>
    <col min="8483" max="8483" width="9" bestFit="1" customWidth="1"/>
    <col min="8484" max="8484" width="11.85546875" bestFit="1" customWidth="1"/>
    <col min="8486" max="8486" width="15" customWidth="1"/>
    <col min="8696" max="8704" width="0" hidden="1" customWidth="1"/>
    <col min="8706" max="8706" width="20.28515625" bestFit="1" customWidth="1"/>
    <col min="8707" max="8707" width="13.28515625" customWidth="1"/>
    <col min="8708" max="8708" width="12.42578125" bestFit="1" customWidth="1"/>
    <col min="8709" max="8709" width="11.7109375" bestFit="1" customWidth="1"/>
    <col min="8710" max="8710" width="14.7109375" bestFit="1" customWidth="1"/>
    <col min="8712" max="8712" width="20.28515625" bestFit="1" customWidth="1"/>
    <col min="8713" max="8713" width="21" customWidth="1"/>
    <col min="8714" max="8714" width="12.85546875" customWidth="1"/>
    <col min="8715" max="8715" width="11.7109375" bestFit="1" customWidth="1"/>
    <col min="8716" max="8716" width="13.5703125" bestFit="1" customWidth="1"/>
    <col min="8718" max="8718" width="23.85546875" bestFit="1" customWidth="1"/>
    <col min="8719" max="8719" width="13.7109375" customWidth="1"/>
    <col min="8720" max="8720" width="12.85546875" customWidth="1"/>
    <col min="8721" max="8721" width="11.7109375" bestFit="1" customWidth="1"/>
    <col min="8722" max="8722" width="14" bestFit="1" customWidth="1"/>
    <col min="8724" max="8724" width="19.85546875" bestFit="1" customWidth="1"/>
    <col min="8725" max="8725" width="13" customWidth="1"/>
    <col min="8726" max="8726" width="12.5703125" customWidth="1"/>
    <col min="8727" max="8727" width="12" bestFit="1" customWidth="1"/>
    <col min="8728" max="8728" width="12.5703125" customWidth="1"/>
    <col min="8730" max="8730" width="19.85546875" bestFit="1" customWidth="1"/>
    <col min="8731" max="8731" width="13.28515625" customWidth="1"/>
    <col min="8732" max="8732" width="12.28515625" customWidth="1"/>
    <col min="8733" max="8733" width="11.7109375" bestFit="1" customWidth="1"/>
    <col min="8734" max="8734" width="11.42578125" customWidth="1"/>
    <col min="8736" max="8736" width="20.140625" bestFit="1" customWidth="1"/>
    <col min="8737" max="8738" width="12.28515625" customWidth="1"/>
    <col min="8739" max="8739" width="9" bestFit="1" customWidth="1"/>
    <col min="8740" max="8740" width="11.85546875" bestFit="1" customWidth="1"/>
    <col min="8742" max="8742" width="15" customWidth="1"/>
    <col min="8952" max="8960" width="0" hidden="1" customWidth="1"/>
    <col min="8962" max="8962" width="20.28515625" bestFit="1" customWidth="1"/>
    <col min="8963" max="8963" width="13.28515625" customWidth="1"/>
    <col min="8964" max="8964" width="12.42578125" bestFit="1" customWidth="1"/>
    <col min="8965" max="8965" width="11.7109375" bestFit="1" customWidth="1"/>
    <col min="8966" max="8966" width="14.7109375" bestFit="1" customWidth="1"/>
    <col min="8968" max="8968" width="20.28515625" bestFit="1" customWidth="1"/>
    <col min="8969" max="8969" width="21" customWidth="1"/>
    <col min="8970" max="8970" width="12.85546875" customWidth="1"/>
    <col min="8971" max="8971" width="11.7109375" bestFit="1" customWidth="1"/>
    <col min="8972" max="8972" width="13.5703125" bestFit="1" customWidth="1"/>
    <col min="8974" max="8974" width="23.85546875" bestFit="1" customWidth="1"/>
    <col min="8975" max="8975" width="13.7109375" customWidth="1"/>
    <col min="8976" max="8976" width="12.85546875" customWidth="1"/>
    <col min="8977" max="8977" width="11.7109375" bestFit="1" customWidth="1"/>
    <col min="8978" max="8978" width="14" bestFit="1" customWidth="1"/>
    <col min="8980" max="8980" width="19.85546875" bestFit="1" customWidth="1"/>
    <col min="8981" max="8981" width="13" customWidth="1"/>
    <col min="8982" max="8982" width="12.5703125" customWidth="1"/>
    <col min="8983" max="8983" width="12" bestFit="1" customWidth="1"/>
    <col min="8984" max="8984" width="12.5703125" customWidth="1"/>
    <col min="8986" max="8986" width="19.85546875" bestFit="1" customWidth="1"/>
    <col min="8987" max="8987" width="13.28515625" customWidth="1"/>
    <col min="8988" max="8988" width="12.28515625" customWidth="1"/>
    <col min="8989" max="8989" width="11.7109375" bestFit="1" customWidth="1"/>
    <col min="8990" max="8990" width="11.42578125" customWidth="1"/>
    <col min="8992" max="8992" width="20.140625" bestFit="1" customWidth="1"/>
    <col min="8993" max="8994" width="12.28515625" customWidth="1"/>
    <col min="8995" max="8995" width="9" bestFit="1" customWidth="1"/>
    <col min="8996" max="8996" width="11.85546875" bestFit="1" customWidth="1"/>
    <col min="8998" max="8998" width="15" customWidth="1"/>
    <col min="9208" max="9216" width="0" hidden="1" customWidth="1"/>
    <col min="9218" max="9218" width="20.28515625" bestFit="1" customWidth="1"/>
    <col min="9219" max="9219" width="13.28515625" customWidth="1"/>
    <col min="9220" max="9220" width="12.42578125" bestFit="1" customWidth="1"/>
    <col min="9221" max="9221" width="11.7109375" bestFit="1" customWidth="1"/>
    <col min="9222" max="9222" width="14.7109375" bestFit="1" customWidth="1"/>
    <col min="9224" max="9224" width="20.28515625" bestFit="1" customWidth="1"/>
    <col min="9225" max="9225" width="21" customWidth="1"/>
    <col min="9226" max="9226" width="12.85546875" customWidth="1"/>
    <col min="9227" max="9227" width="11.7109375" bestFit="1" customWidth="1"/>
    <col min="9228" max="9228" width="13.5703125" bestFit="1" customWidth="1"/>
    <col min="9230" max="9230" width="23.85546875" bestFit="1" customWidth="1"/>
    <col min="9231" max="9231" width="13.7109375" customWidth="1"/>
    <col min="9232" max="9232" width="12.85546875" customWidth="1"/>
    <col min="9233" max="9233" width="11.7109375" bestFit="1" customWidth="1"/>
    <col min="9234" max="9234" width="14" bestFit="1" customWidth="1"/>
    <col min="9236" max="9236" width="19.85546875" bestFit="1" customWidth="1"/>
    <col min="9237" max="9237" width="13" customWidth="1"/>
    <col min="9238" max="9238" width="12.5703125" customWidth="1"/>
    <col min="9239" max="9239" width="12" bestFit="1" customWidth="1"/>
    <col min="9240" max="9240" width="12.5703125" customWidth="1"/>
    <col min="9242" max="9242" width="19.85546875" bestFit="1" customWidth="1"/>
    <col min="9243" max="9243" width="13.28515625" customWidth="1"/>
    <col min="9244" max="9244" width="12.28515625" customWidth="1"/>
    <col min="9245" max="9245" width="11.7109375" bestFit="1" customWidth="1"/>
    <col min="9246" max="9246" width="11.42578125" customWidth="1"/>
    <col min="9248" max="9248" width="20.140625" bestFit="1" customWidth="1"/>
    <col min="9249" max="9250" width="12.28515625" customWidth="1"/>
    <col min="9251" max="9251" width="9" bestFit="1" customWidth="1"/>
    <col min="9252" max="9252" width="11.85546875" bestFit="1" customWidth="1"/>
    <col min="9254" max="9254" width="15" customWidth="1"/>
    <col min="9464" max="9472" width="0" hidden="1" customWidth="1"/>
    <col min="9474" max="9474" width="20.28515625" bestFit="1" customWidth="1"/>
    <col min="9475" max="9475" width="13.28515625" customWidth="1"/>
    <col min="9476" max="9476" width="12.42578125" bestFit="1" customWidth="1"/>
    <col min="9477" max="9477" width="11.7109375" bestFit="1" customWidth="1"/>
    <col min="9478" max="9478" width="14.7109375" bestFit="1" customWidth="1"/>
    <col min="9480" max="9480" width="20.28515625" bestFit="1" customWidth="1"/>
    <col min="9481" max="9481" width="21" customWidth="1"/>
    <col min="9482" max="9482" width="12.85546875" customWidth="1"/>
    <col min="9483" max="9483" width="11.7109375" bestFit="1" customWidth="1"/>
    <col min="9484" max="9484" width="13.5703125" bestFit="1" customWidth="1"/>
    <col min="9486" max="9486" width="23.85546875" bestFit="1" customWidth="1"/>
    <col min="9487" max="9487" width="13.7109375" customWidth="1"/>
    <col min="9488" max="9488" width="12.85546875" customWidth="1"/>
    <col min="9489" max="9489" width="11.7109375" bestFit="1" customWidth="1"/>
    <col min="9490" max="9490" width="14" bestFit="1" customWidth="1"/>
    <col min="9492" max="9492" width="19.85546875" bestFit="1" customWidth="1"/>
    <col min="9493" max="9493" width="13" customWidth="1"/>
    <col min="9494" max="9494" width="12.5703125" customWidth="1"/>
    <col min="9495" max="9495" width="12" bestFit="1" customWidth="1"/>
    <col min="9496" max="9496" width="12.5703125" customWidth="1"/>
    <col min="9498" max="9498" width="19.85546875" bestFit="1" customWidth="1"/>
    <col min="9499" max="9499" width="13.28515625" customWidth="1"/>
    <col min="9500" max="9500" width="12.28515625" customWidth="1"/>
    <col min="9501" max="9501" width="11.7109375" bestFit="1" customWidth="1"/>
    <col min="9502" max="9502" width="11.42578125" customWidth="1"/>
    <col min="9504" max="9504" width="20.140625" bestFit="1" customWidth="1"/>
    <col min="9505" max="9506" width="12.28515625" customWidth="1"/>
    <col min="9507" max="9507" width="9" bestFit="1" customWidth="1"/>
    <col min="9508" max="9508" width="11.85546875" bestFit="1" customWidth="1"/>
    <col min="9510" max="9510" width="15" customWidth="1"/>
    <col min="9720" max="9728" width="0" hidden="1" customWidth="1"/>
    <col min="9730" max="9730" width="20.28515625" bestFit="1" customWidth="1"/>
    <col min="9731" max="9731" width="13.28515625" customWidth="1"/>
    <col min="9732" max="9732" width="12.42578125" bestFit="1" customWidth="1"/>
    <col min="9733" max="9733" width="11.7109375" bestFit="1" customWidth="1"/>
    <col min="9734" max="9734" width="14.7109375" bestFit="1" customWidth="1"/>
    <col min="9736" max="9736" width="20.28515625" bestFit="1" customWidth="1"/>
    <col min="9737" max="9737" width="21" customWidth="1"/>
    <col min="9738" max="9738" width="12.85546875" customWidth="1"/>
    <col min="9739" max="9739" width="11.7109375" bestFit="1" customWidth="1"/>
    <col min="9740" max="9740" width="13.5703125" bestFit="1" customWidth="1"/>
    <col min="9742" max="9742" width="23.85546875" bestFit="1" customWidth="1"/>
    <col min="9743" max="9743" width="13.7109375" customWidth="1"/>
    <col min="9744" max="9744" width="12.85546875" customWidth="1"/>
    <col min="9745" max="9745" width="11.7109375" bestFit="1" customWidth="1"/>
    <col min="9746" max="9746" width="14" bestFit="1" customWidth="1"/>
    <col min="9748" max="9748" width="19.85546875" bestFit="1" customWidth="1"/>
    <col min="9749" max="9749" width="13" customWidth="1"/>
    <col min="9750" max="9750" width="12.5703125" customWidth="1"/>
    <col min="9751" max="9751" width="12" bestFit="1" customWidth="1"/>
    <col min="9752" max="9752" width="12.5703125" customWidth="1"/>
    <col min="9754" max="9754" width="19.85546875" bestFit="1" customWidth="1"/>
    <col min="9755" max="9755" width="13.28515625" customWidth="1"/>
    <col min="9756" max="9756" width="12.28515625" customWidth="1"/>
    <col min="9757" max="9757" width="11.7109375" bestFit="1" customWidth="1"/>
    <col min="9758" max="9758" width="11.42578125" customWidth="1"/>
    <col min="9760" max="9760" width="20.140625" bestFit="1" customWidth="1"/>
    <col min="9761" max="9762" width="12.28515625" customWidth="1"/>
    <col min="9763" max="9763" width="9" bestFit="1" customWidth="1"/>
    <col min="9764" max="9764" width="11.85546875" bestFit="1" customWidth="1"/>
    <col min="9766" max="9766" width="15" customWidth="1"/>
    <col min="9976" max="9984" width="0" hidden="1" customWidth="1"/>
    <col min="9986" max="9986" width="20.28515625" bestFit="1" customWidth="1"/>
    <col min="9987" max="9987" width="13.28515625" customWidth="1"/>
    <col min="9988" max="9988" width="12.42578125" bestFit="1" customWidth="1"/>
    <col min="9989" max="9989" width="11.7109375" bestFit="1" customWidth="1"/>
    <col min="9990" max="9990" width="14.7109375" bestFit="1" customWidth="1"/>
    <col min="9992" max="9992" width="20.28515625" bestFit="1" customWidth="1"/>
    <col min="9993" max="9993" width="21" customWidth="1"/>
    <col min="9994" max="9994" width="12.85546875" customWidth="1"/>
    <col min="9995" max="9995" width="11.7109375" bestFit="1" customWidth="1"/>
    <col min="9996" max="9996" width="13.5703125" bestFit="1" customWidth="1"/>
    <col min="9998" max="9998" width="23.85546875" bestFit="1" customWidth="1"/>
    <col min="9999" max="9999" width="13.7109375" customWidth="1"/>
    <col min="10000" max="10000" width="12.85546875" customWidth="1"/>
    <col min="10001" max="10001" width="11.7109375" bestFit="1" customWidth="1"/>
    <col min="10002" max="10002" width="14" bestFit="1" customWidth="1"/>
    <col min="10004" max="10004" width="19.85546875" bestFit="1" customWidth="1"/>
    <col min="10005" max="10005" width="13" customWidth="1"/>
    <col min="10006" max="10006" width="12.5703125" customWidth="1"/>
    <col min="10007" max="10007" width="12" bestFit="1" customWidth="1"/>
    <col min="10008" max="10008" width="12.5703125" customWidth="1"/>
    <col min="10010" max="10010" width="19.85546875" bestFit="1" customWidth="1"/>
    <col min="10011" max="10011" width="13.28515625" customWidth="1"/>
    <col min="10012" max="10012" width="12.28515625" customWidth="1"/>
    <col min="10013" max="10013" width="11.7109375" bestFit="1" customWidth="1"/>
    <col min="10014" max="10014" width="11.42578125" customWidth="1"/>
    <col min="10016" max="10016" width="20.140625" bestFit="1" customWidth="1"/>
    <col min="10017" max="10018" width="12.28515625" customWidth="1"/>
    <col min="10019" max="10019" width="9" bestFit="1" customWidth="1"/>
    <col min="10020" max="10020" width="11.85546875" bestFit="1" customWidth="1"/>
    <col min="10022" max="10022" width="15" customWidth="1"/>
    <col min="10232" max="10240" width="0" hidden="1" customWidth="1"/>
    <col min="10242" max="10242" width="20.28515625" bestFit="1" customWidth="1"/>
    <col min="10243" max="10243" width="13.28515625" customWidth="1"/>
    <col min="10244" max="10244" width="12.42578125" bestFit="1" customWidth="1"/>
    <col min="10245" max="10245" width="11.7109375" bestFit="1" customWidth="1"/>
    <col min="10246" max="10246" width="14.7109375" bestFit="1" customWidth="1"/>
    <col min="10248" max="10248" width="20.28515625" bestFit="1" customWidth="1"/>
    <col min="10249" max="10249" width="21" customWidth="1"/>
    <col min="10250" max="10250" width="12.85546875" customWidth="1"/>
    <col min="10251" max="10251" width="11.7109375" bestFit="1" customWidth="1"/>
    <col min="10252" max="10252" width="13.5703125" bestFit="1" customWidth="1"/>
    <col min="10254" max="10254" width="23.85546875" bestFit="1" customWidth="1"/>
    <col min="10255" max="10255" width="13.7109375" customWidth="1"/>
    <col min="10256" max="10256" width="12.85546875" customWidth="1"/>
    <col min="10257" max="10257" width="11.7109375" bestFit="1" customWidth="1"/>
    <col min="10258" max="10258" width="14" bestFit="1" customWidth="1"/>
    <col min="10260" max="10260" width="19.85546875" bestFit="1" customWidth="1"/>
    <col min="10261" max="10261" width="13" customWidth="1"/>
    <col min="10262" max="10262" width="12.5703125" customWidth="1"/>
    <col min="10263" max="10263" width="12" bestFit="1" customWidth="1"/>
    <col min="10264" max="10264" width="12.5703125" customWidth="1"/>
    <col min="10266" max="10266" width="19.85546875" bestFit="1" customWidth="1"/>
    <col min="10267" max="10267" width="13.28515625" customWidth="1"/>
    <col min="10268" max="10268" width="12.28515625" customWidth="1"/>
    <col min="10269" max="10269" width="11.7109375" bestFit="1" customWidth="1"/>
    <col min="10270" max="10270" width="11.42578125" customWidth="1"/>
    <col min="10272" max="10272" width="20.140625" bestFit="1" customWidth="1"/>
    <col min="10273" max="10274" width="12.28515625" customWidth="1"/>
    <col min="10275" max="10275" width="9" bestFit="1" customWidth="1"/>
    <col min="10276" max="10276" width="11.85546875" bestFit="1" customWidth="1"/>
    <col min="10278" max="10278" width="15" customWidth="1"/>
    <col min="10488" max="10496" width="0" hidden="1" customWidth="1"/>
    <col min="10498" max="10498" width="20.28515625" bestFit="1" customWidth="1"/>
    <col min="10499" max="10499" width="13.28515625" customWidth="1"/>
    <col min="10500" max="10500" width="12.42578125" bestFit="1" customWidth="1"/>
    <col min="10501" max="10501" width="11.7109375" bestFit="1" customWidth="1"/>
    <col min="10502" max="10502" width="14.7109375" bestFit="1" customWidth="1"/>
    <col min="10504" max="10504" width="20.28515625" bestFit="1" customWidth="1"/>
    <col min="10505" max="10505" width="21" customWidth="1"/>
    <col min="10506" max="10506" width="12.85546875" customWidth="1"/>
    <col min="10507" max="10507" width="11.7109375" bestFit="1" customWidth="1"/>
    <col min="10508" max="10508" width="13.5703125" bestFit="1" customWidth="1"/>
    <col min="10510" max="10510" width="23.85546875" bestFit="1" customWidth="1"/>
    <col min="10511" max="10511" width="13.7109375" customWidth="1"/>
    <col min="10512" max="10512" width="12.85546875" customWidth="1"/>
    <col min="10513" max="10513" width="11.7109375" bestFit="1" customWidth="1"/>
    <col min="10514" max="10514" width="14" bestFit="1" customWidth="1"/>
    <col min="10516" max="10516" width="19.85546875" bestFit="1" customWidth="1"/>
    <col min="10517" max="10517" width="13" customWidth="1"/>
    <col min="10518" max="10518" width="12.5703125" customWidth="1"/>
    <col min="10519" max="10519" width="12" bestFit="1" customWidth="1"/>
    <col min="10520" max="10520" width="12.5703125" customWidth="1"/>
    <col min="10522" max="10522" width="19.85546875" bestFit="1" customWidth="1"/>
    <col min="10523" max="10523" width="13.28515625" customWidth="1"/>
    <col min="10524" max="10524" width="12.28515625" customWidth="1"/>
    <col min="10525" max="10525" width="11.7109375" bestFit="1" customWidth="1"/>
    <col min="10526" max="10526" width="11.42578125" customWidth="1"/>
    <col min="10528" max="10528" width="20.140625" bestFit="1" customWidth="1"/>
    <col min="10529" max="10530" width="12.28515625" customWidth="1"/>
    <col min="10531" max="10531" width="9" bestFit="1" customWidth="1"/>
    <col min="10532" max="10532" width="11.85546875" bestFit="1" customWidth="1"/>
    <col min="10534" max="10534" width="15" customWidth="1"/>
    <col min="10744" max="10752" width="0" hidden="1" customWidth="1"/>
    <col min="10754" max="10754" width="20.28515625" bestFit="1" customWidth="1"/>
    <col min="10755" max="10755" width="13.28515625" customWidth="1"/>
    <col min="10756" max="10756" width="12.42578125" bestFit="1" customWidth="1"/>
    <col min="10757" max="10757" width="11.7109375" bestFit="1" customWidth="1"/>
    <col min="10758" max="10758" width="14.7109375" bestFit="1" customWidth="1"/>
    <col min="10760" max="10760" width="20.28515625" bestFit="1" customWidth="1"/>
    <col min="10761" max="10761" width="21" customWidth="1"/>
    <col min="10762" max="10762" width="12.85546875" customWidth="1"/>
    <col min="10763" max="10763" width="11.7109375" bestFit="1" customWidth="1"/>
    <col min="10764" max="10764" width="13.5703125" bestFit="1" customWidth="1"/>
    <col min="10766" max="10766" width="23.85546875" bestFit="1" customWidth="1"/>
    <col min="10767" max="10767" width="13.7109375" customWidth="1"/>
    <col min="10768" max="10768" width="12.85546875" customWidth="1"/>
    <col min="10769" max="10769" width="11.7109375" bestFit="1" customWidth="1"/>
    <col min="10770" max="10770" width="14" bestFit="1" customWidth="1"/>
    <col min="10772" max="10772" width="19.85546875" bestFit="1" customWidth="1"/>
    <col min="10773" max="10773" width="13" customWidth="1"/>
    <col min="10774" max="10774" width="12.5703125" customWidth="1"/>
    <col min="10775" max="10775" width="12" bestFit="1" customWidth="1"/>
    <col min="10776" max="10776" width="12.5703125" customWidth="1"/>
    <col min="10778" max="10778" width="19.85546875" bestFit="1" customWidth="1"/>
    <col min="10779" max="10779" width="13.28515625" customWidth="1"/>
    <col min="10780" max="10780" width="12.28515625" customWidth="1"/>
    <col min="10781" max="10781" width="11.7109375" bestFit="1" customWidth="1"/>
    <col min="10782" max="10782" width="11.42578125" customWidth="1"/>
    <col min="10784" max="10784" width="20.140625" bestFit="1" customWidth="1"/>
    <col min="10785" max="10786" width="12.28515625" customWidth="1"/>
    <col min="10787" max="10787" width="9" bestFit="1" customWidth="1"/>
    <col min="10788" max="10788" width="11.85546875" bestFit="1" customWidth="1"/>
    <col min="10790" max="10790" width="15" customWidth="1"/>
    <col min="11000" max="11008" width="0" hidden="1" customWidth="1"/>
    <col min="11010" max="11010" width="20.28515625" bestFit="1" customWidth="1"/>
    <col min="11011" max="11011" width="13.28515625" customWidth="1"/>
    <col min="11012" max="11012" width="12.42578125" bestFit="1" customWidth="1"/>
    <col min="11013" max="11013" width="11.7109375" bestFit="1" customWidth="1"/>
    <col min="11014" max="11014" width="14.7109375" bestFit="1" customWidth="1"/>
    <col min="11016" max="11016" width="20.28515625" bestFit="1" customWidth="1"/>
    <col min="11017" max="11017" width="21" customWidth="1"/>
    <col min="11018" max="11018" width="12.85546875" customWidth="1"/>
    <col min="11019" max="11019" width="11.7109375" bestFit="1" customWidth="1"/>
    <col min="11020" max="11020" width="13.5703125" bestFit="1" customWidth="1"/>
    <col min="11022" max="11022" width="23.85546875" bestFit="1" customWidth="1"/>
    <col min="11023" max="11023" width="13.7109375" customWidth="1"/>
    <col min="11024" max="11024" width="12.85546875" customWidth="1"/>
    <col min="11025" max="11025" width="11.7109375" bestFit="1" customWidth="1"/>
    <col min="11026" max="11026" width="14" bestFit="1" customWidth="1"/>
    <col min="11028" max="11028" width="19.85546875" bestFit="1" customWidth="1"/>
    <col min="11029" max="11029" width="13" customWidth="1"/>
    <col min="11030" max="11030" width="12.5703125" customWidth="1"/>
    <col min="11031" max="11031" width="12" bestFit="1" customWidth="1"/>
    <col min="11032" max="11032" width="12.5703125" customWidth="1"/>
    <col min="11034" max="11034" width="19.85546875" bestFit="1" customWidth="1"/>
    <col min="11035" max="11035" width="13.28515625" customWidth="1"/>
    <col min="11036" max="11036" width="12.28515625" customWidth="1"/>
    <col min="11037" max="11037" width="11.7109375" bestFit="1" customWidth="1"/>
    <col min="11038" max="11038" width="11.42578125" customWidth="1"/>
    <col min="11040" max="11040" width="20.140625" bestFit="1" customWidth="1"/>
    <col min="11041" max="11042" width="12.28515625" customWidth="1"/>
    <col min="11043" max="11043" width="9" bestFit="1" customWidth="1"/>
    <col min="11044" max="11044" width="11.85546875" bestFit="1" customWidth="1"/>
    <col min="11046" max="11046" width="15" customWidth="1"/>
    <col min="11256" max="11264" width="0" hidden="1" customWidth="1"/>
    <col min="11266" max="11266" width="20.28515625" bestFit="1" customWidth="1"/>
    <col min="11267" max="11267" width="13.28515625" customWidth="1"/>
    <col min="11268" max="11268" width="12.42578125" bestFit="1" customWidth="1"/>
    <col min="11269" max="11269" width="11.7109375" bestFit="1" customWidth="1"/>
    <col min="11270" max="11270" width="14.7109375" bestFit="1" customWidth="1"/>
    <col min="11272" max="11272" width="20.28515625" bestFit="1" customWidth="1"/>
    <col min="11273" max="11273" width="21" customWidth="1"/>
    <col min="11274" max="11274" width="12.85546875" customWidth="1"/>
    <col min="11275" max="11275" width="11.7109375" bestFit="1" customWidth="1"/>
    <col min="11276" max="11276" width="13.5703125" bestFit="1" customWidth="1"/>
    <col min="11278" max="11278" width="23.85546875" bestFit="1" customWidth="1"/>
    <col min="11279" max="11279" width="13.7109375" customWidth="1"/>
    <col min="11280" max="11280" width="12.85546875" customWidth="1"/>
    <col min="11281" max="11281" width="11.7109375" bestFit="1" customWidth="1"/>
    <col min="11282" max="11282" width="14" bestFit="1" customWidth="1"/>
    <col min="11284" max="11284" width="19.85546875" bestFit="1" customWidth="1"/>
    <col min="11285" max="11285" width="13" customWidth="1"/>
    <col min="11286" max="11286" width="12.5703125" customWidth="1"/>
    <col min="11287" max="11287" width="12" bestFit="1" customWidth="1"/>
    <col min="11288" max="11288" width="12.5703125" customWidth="1"/>
    <col min="11290" max="11290" width="19.85546875" bestFit="1" customWidth="1"/>
    <col min="11291" max="11291" width="13.28515625" customWidth="1"/>
    <col min="11292" max="11292" width="12.28515625" customWidth="1"/>
    <col min="11293" max="11293" width="11.7109375" bestFit="1" customWidth="1"/>
    <col min="11294" max="11294" width="11.42578125" customWidth="1"/>
    <col min="11296" max="11296" width="20.140625" bestFit="1" customWidth="1"/>
    <col min="11297" max="11298" width="12.28515625" customWidth="1"/>
    <col min="11299" max="11299" width="9" bestFit="1" customWidth="1"/>
    <col min="11300" max="11300" width="11.85546875" bestFit="1" customWidth="1"/>
    <col min="11302" max="11302" width="15" customWidth="1"/>
    <col min="11512" max="11520" width="0" hidden="1" customWidth="1"/>
    <col min="11522" max="11522" width="20.28515625" bestFit="1" customWidth="1"/>
    <col min="11523" max="11523" width="13.28515625" customWidth="1"/>
    <col min="11524" max="11524" width="12.42578125" bestFit="1" customWidth="1"/>
    <col min="11525" max="11525" width="11.7109375" bestFit="1" customWidth="1"/>
    <col min="11526" max="11526" width="14.7109375" bestFit="1" customWidth="1"/>
    <col min="11528" max="11528" width="20.28515625" bestFit="1" customWidth="1"/>
    <col min="11529" max="11529" width="21" customWidth="1"/>
    <col min="11530" max="11530" width="12.85546875" customWidth="1"/>
    <col min="11531" max="11531" width="11.7109375" bestFit="1" customWidth="1"/>
    <col min="11532" max="11532" width="13.5703125" bestFit="1" customWidth="1"/>
    <col min="11534" max="11534" width="23.85546875" bestFit="1" customWidth="1"/>
    <col min="11535" max="11535" width="13.7109375" customWidth="1"/>
    <col min="11536" max="11536" width="12.85546875" customWidth="1"/>
    <col min="11537" max="11537" width="11.7109375" bestFit="1" customWidth="1"/>
    <col min="11538" max="11538" width="14" bestFit="1" customWidth="1"/>
    <col min="11540" max="11540" width="19.85546875" bestFit="1" customWidth="1"/>
    <col min="11541" max="11541" width="13" customWidth="1"/>
    <col min="11542" max="11542" width="12.5703125" customWidth="1"/>
    <col min="11543" max="11543" width="12" bestFit="1" customWidth="1"/>
    <col min="11544" max="11544" width="12.5703125" customWidth="1"/>
    <col min="11546" max="11546" width="19.85546875" bestFit="1" customWidth="1"/>
    <col min="11547" max="11547" width="13.28515625" customWidth="1"/>
    <col min="11548" max="11548" width="12.28515625" customWidth="1"/>
    <col min="11549" max="11549" width="11.7109375" bestFit="1" customWidth="1"/>
    <col min="11550" max="11550" width="11.42578125" customWidth="1"/>
    <col min="11552" max="11552" width="20.140625" bestFit="1" customWidth="1"/>
    <col min="11553" max="11554" width="12.28515625" customWidth="1"/>
    <col min="11555" max="11555" width="9" bestFit="1" customWidth="1"/>
    <col min="11556" max="11556" width="11.85546875" bestFit="1" customWidth="1"/>
    <col min="11558" max="11558" width="15" customWidth="1"/>
    <col min="11768" max="11776" width="0" hidden="1" customWidth="1"/>
    <col min="11778" max="11778" width="20.28515625" bestFit="1" customWidth="1"/>
    <col min="11779" max="11779" width="13.28515625" customWidth="1"/>
    <col min="11780" max="11780" width="12.42578125" bestFit="1" customWidth="1"/>
    <col min="11781" max="11781" width="11.7109375" bestFit="1" customWidth="1"/>
    <col min="11782" max="11782" width="14.7109375" bestFit="1" customWidth="1"/>
    <col min="11784" max="11784" width="20.28515625" bestFit="1" customWidth="1"/>
    <col min="11785" max="11785" width="21" customWidth="1"/>
    <col min="11786" max="11786" width="12.85546875" customWidth="1"/>
    <col min="11787" max="11787" width="11.7109375" bestFit="1" customWidth="1"/>
    <col min="11788" max="11788" width="13.5703125" bestFit="1" customWidth="1"/>
    <col min="11790" max="11790" width="23.85546875" bestFit="1" customWidth="1"/>
    <col min="11791" max="11791" width="13.7109375" customWidth="1"/>
    <col min="11792" max="11792" width="12.85546875" customWidth="1"/>
    <col min="11793" max="11793" width="11.7109375" bestFit="1" customWidth="1"/>
    <col min="11794" max="11794" width="14" bestFit="1" customWidth="1"/>
    <col min="11796" max="11796" width="19.85546875" bestFit="1" customWidth="1"/>
    <col min="11797" max="11797" width="13" customWidth="1"/>
    <col min="11798" max="11798" width="12.5703125" customWidth="1"/>
    <col min="11799" max="11799" width="12" bestFit="1" customWidth="1"/>
    <col min="11800" max="11800" width="12.5703125" customWidth="1"/>
    <col min="11802" max="11802" width="19.85546875" bestFit="1" customWidth="1"/>
    <col min="11803" max="11803" width="13.28515625" customWidth="1"/>
    <col min="11804" max="11804" width="12.28515625" customWidth="1"/>
    <col min="11805" max="11805" width="11.7109375" bestFit="1" customWidth="1"/>
    <col min="11806" max="11806" width="11.42578125" customWidth="1"/>
    <col min="11808" max="11808" width="20.140625" bestFit="1" customWidth="1"/>
    <col min="11809" max="11810" width="12.28515625" customWidth="1"/>
    <col min="11811" max="11811" width="9" bestFit="1" customWidth="1"/>
    <col min="11812" max="11812" width="11.85546875" bestFit="1" customWidth="1"/>
    <col min="11814" max="11814" width="15" customWidth="1"/>
    <col min="12024" max="12032" width="0" hidden="1" customWidth="1"/>
    <col min="12034" max="12034" width="20.28515625" bestFit="1" customWidth="1"/>
    <col min="12035" max="12035" width="13.28515625" customWidth="1"/>
    <col min="12036" max="12036" width="12.42578125" bestFit="1" customWidth="1"/>
    <col min="12037" max="12037" width="11.7109375" bestFit="1" customWidth="1"/>
    <col min="12038" max="12038" width="14.7109375" bestFit="1" customWidth="1"/>
    <col min="12040" max="12040" width="20.28515625" bestFit="1" customWidth="1"/>
    <col min="12041" max="12041" width="21" customWidth="1"/>
    <col min="12042" max="12042" width="12.85546875" customWidth="1"/>
    <col min="12043" max="12043" width="11.7109375" bestFit="1" customWidth="1"/>
    <col min="12044" max="12044" width="13.5703125" bestFit="1" customWidth="1"/>
    <col min="12046" max="12046" width="23.85546875" bestFit="1" customWidth="1"/>
    <col min="12047" max="12047" width="13.7109375" customWidth="1"/>
    <col min="12048" max="12048" width="12.85546875" customWidth="1"/>
    <col min="12049" max="12049" width="11.7109375" bestFit="1" customWidth="1"/>
    <col min="12050" max="12050" width="14" bestFit="1" customWidth="1"/>
    <col min="12052" max="12052" width="19.85546875" bestFit="1" customWidth="1"/>
    <col min="12053" max="12053" width="13" customWidth="1"/>
    <col min="12054" max="12054" width="12.5703125" customWidth="1"/>
    <col min="12055" max="12055" width="12" bestFit="1" customWidth="1"/>
    <col min="12056" max="12056" width="12.5703125" customWidth="1"/>
    <col min="12058" max="12058" width="19.85546875" bestFit="1" customWidth="1"/>
    <col min="12059" max="12059" width="13.28515625" customWidth="1"/>
    <col min="12060" max="12060" width="12.28515625" customWidth="1"/>
    <col min="12061" max="12061" width="11.7109375" bestFit="1" customWidth="1"/>
    <col min="12062" max="12062" width="11.42578125" customWidth="1"/>
    <col min="12064" max="12064" width="20.140625" bestFit="1" customWidth="1"/>
    <col min="12065" max="12066" width="12.28515625" customWidth="1"/>
    <col min="12067" max="12067" width="9" bestFit="1" customWidth="1"/>
    <col min="12068" max="12068" width="11.85546875" bestFit="1" customWidth="1"/>
    <col min="12070" max="12070" width="15" customWidth="1"/>
    <col min="12280" max="12288" width="0" hidden="1" customWidth="1"/>
    <col min="12290" max="12290" width="20.28515625" bestFit="1" customWidth="1"/>
    <col min="12291" max="12291" width="13.28515625" customWidth="1"/>
    <col min="12292" max="12292" width="12.42578125" bestFit="1" customWidth="1"/>
    <col min="12293" max="12293" width="11.7109375" bestFit="1" customWidth="1"/>
    <col min="12294" max="12294" width="14.7109375" bestFit="1" customWidth="1"/>
    <col min="12296" max="12296" width="20.28515625" bestFit="1" customWidth="1"/>
    <col min="12297" max="12297" width="21" customWidth="1"/>
    <col min="12298" max="12298" width="12.85546875" customWidth="1"/>
    <col min="12299" max="12299" width="11.7109375" bestFit="1" customWidth="1"/>
    <col min="12300" max="12300" width="13.5703125" bestFit="1" customWidth="1"/>
    <col min="12302" max="12302" width="23.85546875" bestFit="1" customWidth="1"/>
    <col min="12303" max="12303" width="13.7109375" customWidth="1"/>
    <col min="12304" max="12304" width="12.85546875" customWidth="1"/>
    <col min="12305" max="12305" width="11.7109375" bestFit="1" customWidth="1"/>
    <col min="12306" max="12306" width="14" bestFit="1" customWidth="1"/>
    <col min="12308" max="12308" width="19.85546875" bestFit="1" customWidth="1"/>
    <col min="12309" max="12309" width="13" customWidth="1"/>
    <col min="12310" max="12310" width="12.5703125" customWidth="1"/>
    <col min="12311" max="12311" width="12" bestFit="1" customWidth="1"/>
    <col min="12312" max="12312" width="12.5703125" customWidth="1"/>
    <col min="12314" max="12314" width="19.85546875" bestFit="1" customWidth="1"/>
    <col min="12315" max="12315" width="13.28515625" customWidth="1"/>
    <col min="12316" max="12316" width="12.28515625" customWidth="1"/>
    <col min="12317" max="12317" width="11.7109375" bestFit="1" customWidth="1"/>
    <col min="12318" max="12318" width="11.42578125" customWidth="1"/>
    <col min="12320" max="12320" width="20.140625" bestFit="1" customWidth="1"/>
    <col min="12321" max="12322" width="12.28515625" customWidth="1"/>
    <col min="12323" max="12323" width="9" bestFit="1" customWidth="1"/>
    <col min="12324" max="12324" width="11.85546875" bestFit="1" customWidth="1"/>
    <col min="12326" max="12326" width="15" customWidth="1"/>
    <col min="12536" max="12544" width="0" hidden="1" customWidth="1"/>
    <col min="12546" max="12546" width="20.28515625" bestFit="1" customWidth="1"/>
    <col min="12547" max="12547" width="13.28515625" customWidth="1"/>
    <col min="12548" max="12548" width="12.42578125" bestFit="1" customWidth="1"/>
    <col min="12549" max="12549" width="11.7109375" bestFit="1" customWidth="1"/>
    <col min="12550" max="12550" width="14.7109375" bestFit="1" customWidth="1"/>
    <col min="12552" max="12552" width="20.28515625" bestFit="1" customWidth="1"/>
    <col min="12553" max="12553" width="21" customWidth="1"/>
    <col min="12554" max="12554" width="12.85546875" customWidth="1"/>
    <col min="12555" max="12555" width="11.7109375" bestFit="1" customWidth="1"/>
    <col min="12556" max="12556" width="13.5703125" bestFit="1" customWidth="1"/>
    <col min="12558" max="12558" width="23.85546875" bestFit="1" customWidth="1"/>
    <col min="12559" max="12559" width="13.7109375" customWidth="1"/>
    <col min="12560" max="12560" width="12.85546875" customWidth="1"/>
    <col min="12561" max="12561" width="11.7109375" bestFit="1" customWidth="1"/>
    <col min="12562" max="12562" width="14" bestFit="1" customWidth="1"/>
    <col min="12564" max="12564" width="19.85546875" bestFit="1" customWidth="1"/>
    <col min="12565" max="12565" width="13" customWidth="1"/>
    <col min="12566" max="12566" width="12.5703125" customWidth="1"/>
    <col min="12567" max="12567" width="12" bestFit="1" customWidth="1"/>
    <col min="12568" max="12568" width="12.5703125" customWidth="1"/>
    <col min="12570" max="12570" width="19.85546875" bestFit="1" customWidth="1"/>
    <col min="12571" max="12571" width="13.28515625" customWidth="1"/>
    <col min="12572" max="12572" width="12.28515625" customWidth="1"/>
    <col min="12573" max="12573" width="11.7109375" bestFit="1" customWidth="1"/>
    <col min="12574" max="12574" width="11.42578125" customWidth="1"/>
    <col min="12576" max="12576" width="20.140625" bestFit="1" customWidth="1"/>
    <col min="12577" max="12578" width="12.28515625" customWidth="1"/>
    <col min="12579" max="12579" width="9" bestFit="1" customWidth="1"/>
    <col min="12580" max="12580" width="11.85546875" bestFit="1" customWidth="1"/>
    <col min="12582" max="12582" width="15" customWidth="1"/>
    <col min="12792" max="12800" width="0" hidden="1" customWidth="1"/>
    <col min="12802" max="12802" width="20.28515625" bestFit="1" customWidth="1"/>
    <col min="12803" max="12803" width="13.28515625" customWidth="1"/>
    <col min="12804" max="12804" width="12.42578125" bestFit="1" customWidth="1"/>
    <col min="12805" max="12805" width="11.7109375" bestFit="1" customWidth="1"/>
    <col min="12806" max="12806" width="14.7109375" bestFit="1" customWidth="1"/>
    <col min="12808" max="12808" width="20.28515625" bestFit="1" customWidth="1"/>
    <col min="12809" max="12809" width="21" customWidth="1"/>
    <col min="12810" max="12810" width="12.85546875" customWidth="1"/>
    <col min="12811" max="12811" width="11.7109375" bestFit="1" customWidth="1"/>
    <col min="12812" max="12812" width="13.5703125" bestFit="1" customWidth="1"/>
    <col min="12814" max="12814" width="23.85546875" bestFit="1" customWidth="1"/>
    <col min="12815" max="12815" width="13.7109375" customWidth="1"/>
    <col min="12816" max="12816" width="12.85546875" customWidth="1"/>
    <col min="12817" max="12817" width="11.7109375" bestFit="1" customWidth="1"/>
    <col min="12818" max="12818" width="14" bestFit="1" customWidth="1"/>
    <col min="12820" max="12820" width="19.85546875" bestFit="1" customWidth="1"/>
    <col min="12821" max="12821" width="13" customWidth="1"/>
    <col min="12822" max="12822" width="12.5703125" customWidth="1"/>
    <col min="12823" max="12823" width="12" bestFit="1" customWidth="1"/>
    <col min="12824" max="12824" width="12.5703125" customWidth="1"/>
    <col min="12826" max="12826" width="19.85546875" bestFit="1" customWidth="1"/>
    <col min="12827" max="12827" width="13.28515625" customWidth="1"/>
    <col min="12828" max="12828" width="12.28515625" customWidth="1"/>
    <col min="12829" max="12829" width="11.7109375" bestFit="1" customWidth="1"/>
    <col min="12830" max="12830" width="11.42578125" customWidth="1"/>
    <col min="12832" max="12832" width="20.140625" bestFit="1" customWidth="1"/>
    <col min="12833" max="12834" width="12.28515625" customWidth="1"/>
    <col min="12835" max="12835" width="9" bestFit="1" customWidth="1"/>
    <col min="12836" max="12836" width="11.85546875" bestFit="1" customWidth="1"/>
    <col min="12838" max="12838" width="15" customWidth="1"/>
    <col min="13048" max="13056" width="0" hidden="1" customWidth="1"/>
    <col min="13058" max="13058" width="20.28515625" bestFit="1" customWidth="1"/>
    <col min="13059" max="13059" width="13.28515625" customWidth="1"/>
    <col min="13060" max="13060" width="12.42578125" bestFit="1" customWidth="1"/>
    <col min="13061" max="13061" width="11.7109375" bestFit="1" customWidth="1"/>
    <col min="13062" max="13062" width="14.7109375" bestFit="1" customWidth="1"/>
    <col min="13064" max="13064" width="20.28515625" bestFit="1" customWidth="1"/>
    <col min="13065" max="13065" width="21" customWidth="1"/>
    <col min="13066" max="13066" width="12.85546875" customWidth="1"/>
    <col min="13067" max="13067" width="11.7109375" bestFit="1" customWidth="1"/>
    <col min="13068" max="13068" width="13.5703125" bestFit="1" customWidth="1"/>
    <col min="13070" max="13070" width="23.85546875" bestFit="1" customWidth="1"/>
    <col min="13071" max="13071" width="13.7109375" customWidth="1"/>
    <col min="13072" max="13072" width="12.85546875" customWidth="1"/>
    <col min="13073" max="13073" width="11.7109375" bestFit="1" customWidth="1"/>
    <col min="13074" max="13074" width="14" bestFit="1" customWidth="1"/>
    <col min="13076" max="13076" width="19.85546875" bestFit="1" customWidth="1"/>
    <col min="13077" max="13077" width="13" customWidth="1"/>
    <col min="13078" max="13078" width="12.5703125" customWidth="1"/>
    <col min="13079" max="13079" width="12" bestFit="1" customWidth="1"/>
    <col min="13080" max="13080" width="12.5703125" customWidth="1"/>
    <col min="13082" max="13082" width="19.85546875" bestFit="1" customWidth="1"/>
    <col min="13083" max="13083" width="13.28515625" customWidth="1"/>
    <col min="13084" max="13084" width="12.28515625" customWidth="1"/>
    <col min="13085" max="13085" width="11.7109375" bestFit="1" customWidth="1"/>
    <col min="13086" max="13086" width="11.42578125" customWidth="1"/>
    <col min="13088" max="13088" width="20.140625" bestFit="1" customWidth="1"/>
    <col min="13089" max="13090" width="12.28515625" customWidth="1"/>
    <col min="13091" max="13091" width="9" bestFit="1" customWidth="1"/>
    <col min="13092" max="13092" width="11.85546875" bestFit="1" customWidth="1"/>
    <col min="13094" max="13094" width="15" customWidth="1"/>
    <col min="13304" max="13312" width="0" hidden="1" customWidth="1"/>
    <col min="13314" max="13314" width="20.28515625" bestFit="1" customWidth="1"/>
    <col min="13315" max="13315" width="13.28515625" customWidth="1"/>
    <col min="13316" max="13316" width="12.42578125" bestFit="1" customWidth="1"/>
    <col min="13317" max="13317" width="11.7109375" bestFit="1" customWidth="1"/>
    <col min="13318" max="13318" width="14.7109375" bestFit="1" customWidth="1"/>
    <col min="13320" max="13320" width="20.28515625" bestFit="1" customWidth="1"/>
    <col min="13321" max="13321" width="21" customWidth="1"/>
    <col min="13322" max="13322" width="12.85546875" customWidth="1"/>
    <col min="13323" max="13323" width="11.7109375" bestFit="1" customWidth="1"/>
    <col min="13324" max="13324" width="13.5703125" bestFit="1" customWidth="1"/>
    <col min="13326" max="13326" width="23.85546875" bestFit="1" customWidth="1"/>
    <col min="13327" max="13327" width="13.7109375" customWidth="1"/>
    <col min="13328" max="13328" width="12.85546875" customWidth="1"/>
    <col min="13329" max="13329" width="11.7109375" bestFit="1" customWidth="1"/>
    <col min="13330" max="13330" width="14" bestFit="1" customWidth="1"/>
    <col min="13332" max="13332" width="19.85546875" bestFit="1" customWidth="1"/>
    <col min="13333" max="13333" width="13" customWidth="1"/>
    <col min="13334" max="13334" width="12.5703125" customWidth="1"/>
    <col min="13335" max="13335" width="12" bestFit="1" customWidth="1"/>
    <col min="13336" max="13336" width="12.5703125" customWidth="1"/>
    <col min="13338" max="13338" width="19.85546875" bestFit="1" customWidth="1"/>
    <col min="13339" max="13339" width="13.28515625" customWidth="1"/>
    <col min="13340" max="13340" width="12.28515625" customWidth="1"/>
    <col min="13341" max="13341" width="11.7109375" bestFit="1" customWidth="1"/>
    <col min="13342" max="13342" width="11.42578125" customWidth="1"/>
    <col min="13344" max="13344" width="20.140625" bestFit="1" customWidth="1"/>
    <col min="13345" max="13346" width="12.28515625" customWidth="1"/>
    <col min="13347" max="13347" width="9" bestFit="1" customWidth="1"/>
    <col min="13348" max="13348" width="11.85546875" bestFit="1" customWidth="1"/>
    <col min="13350" max="13350" width="15" customWidth="1"/>
    <col min="13560" max="13568" width="0" hidden="1" customWidth="1"/>
    <col min="13570" max="13570" width="20.28515625" bestFit="1" customWidth="1"/>
    <col min="13571" max="13571" width="13.28515625" customWidth="1"/>
    <col min="13572" max="13572" width="12.42578125" bestFit="1" customWidth="1"/>
    <col min="13573" max="13573" width="11.7109375" bestFit="1" customWidth="1"/>
    <col min="13574" max="13574" width="14.7109375" bestFit="1" customWidth="1"/>
    <col min="13576" max="13576" width="20.28515625" bestFit="1" customWidth="1"/>
    <col min="13577" max="13577" width="21" customWidth="1"/>
    <col min="13578" max="13578" width="12.85546875" customWidth="1"/>
    <col min="13579" max="13579" width="11.7109375" bestFit="1" customWidth="1"/>
    <col min="13580" max="13580" width="13.5703125" bestFit="1" customWidth="1"/>
    <col min="13582" max="13582" width="23.85546875" bestFit="1" customWidth="1"/>
    <col min="13583" max="13583" width="13.7109375" customWidth="1"/>
    <col min="13584" max="13584" width="12.85546875" customWidth="1"/>
    <col min="13585" max="13585" width="11.7109375" bestFit="1" customWidth="1"/>
    <col min="13586" max="13586" width="14" bestFit="1" customWidth="1"/>
    <col min="13588" max="13588" width="19.85546875" bestFit="1" customWidth="1"/>
    <col min="13589" max="13589" width="13" customWidth="1"/>
    <col min="13590" max="13590" width="12.5703125" customWidth="1"/>
    <col min="13591" max="13591" width="12" bestFit="1" customWidth="1"/>
    <col min="13592" max="13592" width="12.5703125" customWidth="1"/>
    <col min="13594" max="13594" width="19.85546875" bestFit="1" customWidth="1"/>
    <col min="13595" max="13595" width="13.28515625" customWidth="1"/>
    <col min="13596" max="13596" width="12.28515625" customWidth="1"/>
    <col min="13597" max="13597" width="11.7109375" bestFit="1" customWidth="1"/>
    <col min="13598" max="13598" width="11.42578125" customWidth="1"/>
    <col min="13600" max="13600" width="20.140625" bestFit="1" customWidth="1"/>
    <col min="13601" max="13602" width="12.28515625" customWidth="1"/>
    <col min="13603" max="13603" width="9" bestFit="1" customWidth="1"/>
    <col min="13604" max="13604" width="11.85546875" bestFit="1" customWidth="1"/>
    <col min="13606" max="13606" width="15" customWidth="1"/>
    <col min="13816" max="13824" width="0" hidden="1" customWidth="1"/>
    <col min="13826" max="13826" width="20.28515625" bestFit="1" customWidth="1"/>
    <col min="13827" max="13827" width="13.28515625" customWidth="1"/>
    <col min="13828" max="13828" width="12.42578125" bestFit="1" customWidth="1"/>
    <col min="13829" max="13829" width="11.7109375" bestFit="1" customWidth="1"/>
    <col min="13830" max="13830" width="14.7109375" bestFit="1" customWidth="1"/>
    <col min="13832" max="13832" width="20.28515625" bestFit="1" customWidth="1"/>
    <col min="13833" max="13833" width="21" customWidth="1"/>
    <col min="13834" max="13834" width="12.85546875" customWidth="1"/>
    <col min="13835" max="13835" width="11.7109375" bestFit="1" customWidth="1"/>
    <col min="13836" max="13836" width="13.5703125" bestFit="1" customWidth="1"/>
    <col min="13838" max="13838" width="23.85546875" bestFit="1" customWidth="1"/>
    <col min="13839" max="13839" width="13.7109375" customWidth="1"/>
    <col min="13840" max="13840" width="12.85546875" customWidth="1"/>
    <col min="13841" max="13841" width="11.7109375" bestFit="1" customWidth="1"/>
    <col min="13842" max="13842" width="14" bestFit="1" customWidth="1"/>
    <col min="13844" max="13844" width="19.85546875" bestFit="1" customWidth="1"/>
    <col min="13845" max="13845" width="13" customWidth="1"/>
    <col min="13846" max="13846" width="12.5703125" customWidth="1"/>
    <col min="13847" max="13847" width="12" bestFit="1" customWidth="1"/>
    <col min="13848" max="13848" width="12.5703125" customWidth="1"/>
    <col min="13850" max="13850" width="19.85546875" bestFit="1" customWidth="1"/>
    <col min="13851" max="13851" width="13.28515625" customWidth="1"/>
    <col min="13852" max="13852" width="12.28515625" customWidth="1"/>
    <col min="13853" max="13853" width="11.7109375" bestFit="1" customWidth="1"/>
    <col min="13854" max="13854" width="11.42578125" customWidth="1"/>
    <col min="13856" max="13856" width="20.140625" bestFit="1" customWidth="1"/>
    <col min="13857" max="13858" width="12.28515625" customWidth="1"/>
    <col min="13859" max="13859" width="9" bestFit="1" customWidth="1"/>
    <col min="13860" max="13860" width="11.85546875" bestFit="1" customWidth="1"/>
    <col min="13862" max="13862" width="15" customWidth="1"/>
    <col min="14072" max="14080" width="0" hidden="1" customWidth="1"/>
    <col min="14082" max="14082" width="20.28515625" bestFit="1" customWidth="1"/>
    <col min="14083" max="14083" width="13.28515625" customWidth="1"/>
    <col min="14084" max="14084" width="12.42578125" bestFit="1" customWidth="1"/>
    <col min="14085" max="14085" width="11.7109375" bestFit="1" customWidth="1"/>
    <col min="14086" max="14086" width="14.7109375" bestFit="1" customWidth="1"/>
    <col min="14088" max="14088" width="20.28515625" bestFit="1" customWidth="1"/>
    <col min="14089" max="14089" width="21" customWidth="1"/>
    <col min="14090" max="14090" width="12.85546875" customWidth="1"/>
    <col min="14091" max="14091" width="11.7109375" bestFit="1" customWidth="1"/>
    <col min="14092" max="14092" width="13.5703125" bestFit="1" customWidth="1"/>
    <col min="14094" max="14094" width="23.85546875" bestFit="1" customWidth="1"/>
    <col min="14095" max="14095" width="13.7109375" customWidth="1"/>
    <col min="14096" max="14096" width="12.85546875" customWidth="1"/>
    <col min="14097" max="14097" width="11.7109375" bestFit="1" customWidth="1"/>
    <col min="14098" max="14098" width="14" bestFit="1" customWidth="1"/>
    <col min="14100" max="14100" width="19.85546875" bestFit="1" customWidth="1"/>
    <col min="14101" max="14101" width="13" customWidth="1"/>
    <col min="14102" max="14102" width="12.5703125" customWidth="1"/>
    <col min="14103" max="14103" width="12" bestFit="1" customWidth="1"/>
    <col min="14104" max="14104" width="12.5703125" customWidth="1"/>
    <col min="14106" max="14106" width="19.85546875" bestFit="1" customWidth="1"/>
    <col min="14107" max="14107" width="13.28515625" customWidth="1"/>
    <col min="14108" max="14108" width="12.28515625" customWidth="1"/>
    <col min="14109" max="14109" width="11.7109375" bestFit="1" customWidth="1"/>
    <col min="14110" max="14110" width="11.42578125" customWidth="1"/>
    <col min="14112" max="14112" width="20.140625" bestFit="1" customWidth="1"/>
    <col min="14113" max="14114" width="12.28515625" customWidth="1"/>
    <col min="14115" max="14115" width="9" bestFit="1" customWidth="1"/>
    <col min="14116" max="14116" width="11.85546875" bestFit="1" customWidth="1"/>
    <col min="14118" max="14118" width="15" customWidth="1"/>
    <col min="14328" max="14336" width="0" hidden="1" customWidth="1"/>
    <col min="14338" max="14338" width="20.28515625" bestFit="1" customWidth="1"/>
    <col min="14339" max="14339" width="13.28515625" customWidth="1"/>
    <col min="14340" max="14340" width="12.42578125" bestFit="1" customWidth="1"/>
    <col min="14341" max="14341" width="11.7109375" bestFit="1" customWidth="1"/>
    <col min="14342" max="14342" width="14.7109375" bestFit="1" customWidth="1"/>
    <col min="14344" max="14344" width="20.28515625" bestFit="1" customWidth="1"/>
    <col min="14345" max="14345" width="21" customWidth="1"/>
    <col min="14346" max="14346" width="12.85546875" customWidth="1"/>
    <col min="14347" max="14347" width="11.7109375" bestFit="1" customWidth="1"/>
    <col min="14348" max="14348" width="13.5703125" bestFit="1" customWidth="1"/>
    <col min="14350" max="14350" width="23.85546875" bestFit="1" customWidth="1"/>
    <col min="14351" max="14351" width="13.7109375" customWidth="1"/>
    <col min="14352" max="14352" width="12.85546875" customWidth="1"/>
    <col min="14353" max="14353" width="11.7109375" bestFit="1" customWidth="1"/>
    <col min="14354" max="14354" width="14" bestFit="1" customWidth="1"/>
    <col min="14356" max="14356" width="19.85546875" bestFit="1" customWidth="1"/>
    <col min="14357" max="14357" width="13" customWidth="1"/>
    <col min="14358" max="14358" width="12.5703125" customWidth="1"/>
    <col min="14359" max="14359" width="12" bestFit="1" customWidth="1"/>
    <col min="14360" max="14360" width="12.5703125" customWidth="1"/>
    <col min="14362" max="14362" width="19.85546875" bestFit="1" customWidth="1"/>
    <col min="14363" max="14363" width="13.28515625" customWidth="1"/>
    <col min="14364" max="14364" width="12.28515625" customWidth="1"/>
    <col min="14365" max="14365" width="11.7109375" bestFit="1" customWidth="1"/>
    <col min="14366" max="14366" width="11.42578125" customWidth="1"/>
    <col min="14368" max="14368" width="20.140625" bestFit="1" customWidth="1"/>
    <col min="14369" max="14370" width="12.28515625" customWidth="1"/>
    <col min="14371" max="14371" width="9" bestFit="1" customWidth="1"/>
    <col min="14372" max="14372" width="11.85546875" bestFit="1" customWidth="1"/>
    <col min="14374" max="14374" width="15" customWidth="1"/>
    <col min="14584" max="14592" width="0" hidden="1" customWidth="1"/>
    <col min="14594" max="14594" width="20.28515625" bestFit="1" customWidth="1"/>
    <col min="14595" max="14595" width="13.28515625" customWidth="1"/>
    <col min="14596" max="14596" width="12.42578125" bestFit="1" customWidth="1"/>
    <col min="14597" max="14597" width="11.7109375" bestFit="1" customWidth="1"/>
    <col min="14598" max="14598" width="14.7109375" bestFit="1" customWidth="1"/>
    <col min="14600" max="14600" width="20.28515625" bestFit="1" customWidth="1"/>
    <col min="14601" max="14601" width="21" customWidth="1"/>
    <col min="14602" max="14602" width="12.85546875" customWidth="1"/>
    <col min="14603" max="14603" width="11.7109375" bestFit="1" customWidth="1"/>
    <col min="14604" max="14604" width="13.5703125" bestFit="1" customWidth="1"/>
    <col min="14606" max="14606" width="23.85546875" bestFit="1" customWidth="1"/>
    <col min="14607" max="14607" width="13.7109375" customWidth="1"/>
    <col min="14608" max="14608" width="12.85546875" customWidth="1"/>
    <col min="14609" max="14609" width="11.7109375" bestFit="1" customWidth="1"/>
    <col min="14610" max="14610" width="14" bestFit="1" customWidth="1"/>
    <col min="14612" max="14612" width="19.85546875" bestFit="1" customWidth="1"/>
    <col min="14613" max="14613" width="13" customWidth="1"/>
    <col min="14614" max="14614" width="12.5703125" customWidth="1"/>
    <col min="14615" max="14615" width="12" bestFit="1" customWidth="1"/>
    <col min="14616" max="14616" width="12.5703125" customWidth="1"/>
    <col min="14618" max="14618" width="19.85546875" bestFit="1" customWidth="1"/>
    <col min="14619" max="14619" width="13.28515625" customWidth="1"/>
    <col min="14620" max="14620" width="12.28515625" customWidth="1"/>
    <col min="14621" max="14621" width="11.7109375" bestFit="1" customWidth="1"/>
    <col min="14622" max="14622" width="11.42578125" customWidth="1"/>
    <col min="14624" max="14624" width="20.140625" bestFit="1" customWidth="1"/>
    <col min="14625" max="14626" width="12.28515625" customWidth="1"/>
    <col min="14627" max="14627" width="9" bestFit="1" customWidth="1"/>
    <col min="14628" max="14628" width="11.85546875" bestFit="1" customWidth="1"/>
    <col min="14630" max="14630" width="15" customWidth="1"/>
    <col min="14840" max="14848" width="0" hidden="1" customWidth="1"/>
    <col min="14850" max="14850" width="20.28515625" bestFit="1" customWidth="1"/>
    <col min="14851" max="14851" width="13.28515625" customWidth="1"/>
    <col min="14852" max="14852" width="12.42578125" bestFit="1" customWidth="1"/>
    <col min="14853" max="14853" width="11.7109375" bestFit="1" customWidth="1"/>
    <col min="14854" max="14854" width="14.7109375" bestFit="1" customWidth="1"/>
    <col min="14856" max="14856" width="20.28515625" bestFit="1" customWidth="1"/>
    <col min="14857" max="14857" width="21" customWidth="1"/>
    <col min="14858" max="14858" width="12.85546875" customWidth="1"/>
    <col min="14859" max="14859" width="11.7109375" bestFit="1" customWidth="1"/>
    <col min="14860" max="14860" width="13.5703125" bestFit="1" customWidth="1"/>
    <col min="14862" max="14862" width="23.85546875" bestFit="1" customWidth="1"/>
    <col min="14863" max="14863" width="13.7109375" customWidth="1"/>
    <col min="14864" max="14864" width="12.85546875" customWidth="1"/>
    <col min="14865" max="14865" width="11.7109375" bestFit="1" customWidth="1"/>
    <col min="14866" max="14866" width="14" bestFit="1" customWidth="1"/>
    <col min="14868" max="14868" width="19.85546875" bestFit="1" customWidth="1"/>
    <col min="14869" max="14869" width="13" customWidth="1"/>
    <col min="14870" max="14870" width="12.5703125" customWidth="1"/>
    <col min="14871" max="14871" width="12" bestFit="1" customWidth="1"/>
    <col min="14872" max="14872" width="12.5703125" customWidth="1"/>
    <col min="14874" max="14874" width="19.85546875" bestFit="1" customWidth="1"/>
    <col min="14875" max="14875" width="13.28515625" customWidth="1"/>
    <col min="14876" max="14876" width="12.28515625" customWidth="1"/>
    <col min="14877" max="14877" width="11.7109375" bestFit="1" customWidth="1"/>
    <col min="14878" max="14878" width="11.42578125" customWidth="1"/>
    <col min="14880" max="14880" width="20.140625" bestFit="1" customWidth="1"/>
    <col min="14881" max="14882" width="12.28515625" customWidth="1"/>
    <col min="14883" max="14883" width="9" bestFit="1" customWidth="1"/>
    <col min="14884" max="14884" width="11.85546875" bestFit="1" customWidth="1"/>
    <col min="14886" max="14886" width="15" customWidth="1"/>
    <col min="15096" max="15104" width="0" hidden="1" customWidth="1"/>
    <col min="15106" max="15106" width="20.28515625" bestFit="1" customWidth="1"/>
    <col min="15107" max="15107" width="13.28515625" customWidth="1"/>
    <col min="15108" max="15108" width="12.42578125" bestFit="1" customWidth="1"/>
    <col min="15109" max="15109" width="11.7109375" bestFit="1" customWidth="1"/>
    <col min="15110" max="15110" width="14.7109375" bestFit="1" customWidth="1"/>
    <col min="15112" max="15112" width="20.28515625" bestFit="1" customWidth="1"/>
    <col min="15113" max="15113" width="21" customWidth="1"/>
    <col min="15114" max="15114" width="12.85546875" customWidth="1"/>
    <col min="15115" max="15115" width="11.7109375" bestFit="1" customWidth="1"/>
    <col min="15116" max="15116" width="13.5703125" bestFit="1" customWidth="1"/>
    <col min="15118" max="15118" width="23.85546875" bestFit="1" customWidth="1"/>
    <col min="15119" max="15119" width="13.7109375" customWidth="1"/>
    <col min="15120" max="15120" width="12.85546875" customWidth="1"/>
    <col min="15121" max="15121" width="11.7109375" bestFit="1" customWidth="1"/>
    <col min="15122" max="15122" width="14" bestFit="1" customWidth="1"/>
    <col min="15124" max="15124" width="19.85546875" bestFit="1" customWidth="1"/>
    <col min="15125" max="15125" width="13" customWidth="1"/>
    <col min="15126" max="15126" width="12.5703125" customWidth="1"/>
    <col min="15127" max="15127" width="12" bestFit="1" customWidth="1"/>
    <col min="15128" max="15128" width="12.5703125" customWidth="1"/>
    <col min="15130" max="15130" width="19.85546875" bestFit="1" customWidth="1"/>
    <col min="15131" max="15131" width="13.28515625" customWidth="1"/>
    <col min="15132" max="15132" width="12.28515625" customWidth="1"/>
    <col min="15133" max="15133" width="11.7109375" bestFit="1" customWidth="1"/>
    <col min="15134" max="15134" width="11.42578125" customWidth="1"/>
    <col min="15136" max="15136" width="20.140625" bestFit="1" customWidth="1"/>
    <col min="15137" max="15138" width="12.28515625" customWidth="1"/>
    <col min="15139" max="15139" width="9" bestFit="1" customWidth="1"/>
    <col min="15140" max="15140" width="11.85546875" bestFit="1" customWidth="1"/>
    <col min="15142" max="15142" width="15" customWidth="1"/>
    <col min="15352" max="15360" width="0" hidden="1" customWidth="1"/>
    <col min="15362" max="15362" width="20.28515625" bestFit="1" customWidth="1"/>
    <col min="15363" max="15363" width="13.28515625" customWidth="1"/>
    <col min="15364" max="15364" width="12.42578125" bestFit="1" customWidth="1"/>
    <col min="15365" max="15365" width="11.7109375" bestFit="1" customWidth="1"/>
    <col min="15366" max="15366" width="14.7109375" bestFit="1" customWidth="1"/>
    <col min="15368" max="15368" width="20.28515625" bestFit="1" customWidth="1"/>
    <col min="15369" max="15369" width="21" customWidth="1"/>
    <col min="15370" max="15370" width="12.85546875" customWidth="1"/>
    <col min="15371" max="15371" width="11.7109375" bestFit="1" customWidth="1"/>
    <col min="15372" max="15372" width="13.5703125" bestFit="1" customWidth="1"/>
    <col min="15374" max="15374" width="23.85546875" bestFit="1" customWidth="1"/>
    <col min="15375" max="15375" width="13.7109375" customWidth="1"/>
    <col min="15376" max="15376" width="12.85546875" customWidth="1"/>
    <col min="15377" max="15377" width="11.7109375" bestFit="1" customWidth="1"/>
    <col min="15378" max="15378" width="14" bestFit="1" customWidth="1"/>
    <col min="15380" max="15380" width="19.85546875" bestFit="1" customWidth="1"/>
    <col min="15381" max="15381" width="13" customWidth="1"/>
    <col min="15382" max="15382" width="12.5703125" customWidth="1"/>
    <col min="15383" max="15383" width="12" bestFit="1" customWidth="1"/>
    <col min="15384" max="15384" width="12.5703125" customWidth="1"/>
    <col min="15386" max="15386" width="19.85546875" bestFit="1" customWidth="1"/>
    <col min="15387" max="15387" width="13.28515625" customWidth="1"/>
    <col min="15388" max="15388" width="12.28515625" customWidth="1"/>
    <col min="15389" max="15389" width="11.7109375" bestFit="1" customWidth="1"/>
    <col min="15390" max="15390" width="11.42578125" customWidth="1"/>
    <col min="15392" max="15392" width="20.140625" bestFit="1" customWidth="1"/>
    <col min="15393" max="15394" width="12.28515625" customWidth="1"/>
    <col min="15395" max="15395" width="9" bestFit="1" customWidth="1"/>
    <col min="15396" max="15396" width="11.85546875" bestFit="1" customWidth="1"/>
    <col min="15398" max="15398" width="15" customWidth="1"/>
    <col min="15608" max="15616" width="0" hidden="1" customWidth="1"/>
    <col min="15618" max="15618" width="20.28515625" bestFit="1" customWidth="1"/>
    <col min="15619" max="15619" width="13.28515625" customWidth="1"/>
    <col min="15620" max="15620" width="12.42578125" bestFit="1" customWidth="1"/>
    <col min="15621" max="15621" width="11.7109375" bestFit="1" customWidth="1"/>
    <col min="15622" max="15622" width="14.7109375" bestFit="1" customWidth="1"/>
    <col min="15624" max="15624" width="20.28515625" bestFit="1" customWidth="1"/>
    <col min="15625" max="15625" width="21" customWidth="1"/>
    <col min="15626" max="15626" width="12.85546875" customWidth="1"/>
    <col min="15627" max="15627" width="11.7109375" bestFit="1" customWidth="1"/>
    <col min="15628" max="15628" width="13.5703125" bestFit="1" customWidth="1"/>
    <col min="15630" max="15630" width="23.85546875" bestFit="1" customWidth="1"/>
    <col min="15631" max="15631" width="13.7109375" customWidth="1"/>
    <col min="15632" max="15632" width="12.85546875" customWidth="1"/>
    <col min="15633" max="15633" width="11.7109375" bestFit="1" customWidth="1"/>
    <col min="15634" max="15634" width="14" bestFit="1" customWidth="1"/>
    <col min="15636" max="15636" width="19.85546875" bestFit="1" customWidth="1"/>
    <col min="15637" max="15637" width="13" customWidth="1"/>
    <col min="15638" max="15638" width="12.5703125" customWidth="1"/>
    <col min="15639" max="15639" width="12" bestFit="1" customWidth="1"/>
    <col min="15640" max="15640" width="12.5703125" customWidth="1"/>
    <col min="15642" max="15642" width="19.85546875" bestFit="1" customWidth="1"/>
    <col min="15643" max="15643" width="13.28515625" customWidth="1"/>
    <col min="15644" max="15644" width="12.28515625" customWidth="1"/>
    <col min="15645" max="15645" width="11.7109375" bestFit="1" customWidth="1"/>
    <col min="15646" max="15646" width="11.42578125" customWidth="1"/>
    <col min="15648" max="15648" width="20.140625" bestFit="1" customWidth="1"/>
    <col min="15649" max="15650" width="12.28515625" customWidth="1"/>
    <col min="15651" max="15651" width="9" bestFit="1" customWidth="1"/>
    <col min="15652" max="15652" width="11.85546875" bestFit="1" customWidth="1"/>
    <col min="15654" max="15654" width="15" customWidth="1"/>
    <col min="15864" max="15872" width="0" hidden="1" customWidth="1"/>
    <col min="15874" max="15874" width="20.28515625" bestFit="1" customWidth="1"/>
    <col min="15875" max="15875" width="13.28515625" customWidth="1"/>
    <col min="15876" max="15876" width="12.42578125" bestFit="1" customWidth="1"/>
    <col min="15877" max="15877" width="11.7109375" bestFit="1" customWidth="1"/>
    <col min="15878" max="15878" width="14.7109375" bestFit="1" customWidth="1"/>
    <col min="15880" max="15880" width="20.28515625" bestFit="1" customWidth="1"/>
    <col min="15881" max="15881" width="21" customWidth="1"/>
    <col min="15882" max="15882" width="12.85546875" customWidth="1"/>
    <col min="15883" max="15883" width="11.7109375" bestFit="1" customWidth="1"/>
    <col min="15884" max="15884" width="13.5703125" bestFit="1" customWidth="1"/>
    <col min="15886" max="15886" width="23.85546875" bestFit="1" customWidth="1"/>
    <col min="15887" max="15887" width="13.7109375" customWidth="1"/>
    <col min="15888" max="15888" width="12.85546875" customWidth="1"/>
    <col min="15889" max="15889" width="11.7109375" bestFit="1" customWidth="1"/>
    <col min="15890" max="15890" width="14" bestFit="1" customWidth="1"/>
    <col min="15892" max="15892" width="19.85546875" bestFit="1" customWidth="1"/>
    <col min="15893" max="15893" width="13" customWidth="1"/>
    <col min="15894" max="15894" width="12.5703125" customWidth="1"/>
    <col min="15895" max="15895" width="12" bestFit="1" customWidth="1"/>
    <col min="15896" max="15896" width="12.5703125" customWidth="1"/>
    <col min="15898" max="15898" width="19.85546875" bestFit="1" customWidth="1"/>
    <col min="15899" max="15899" width="13.28515625" customWidth="1"/>
    <col min="15900" max="15900" width="12.28515625" customWidth="1"/>
    <col min="15901" max="15901" width="11.7109375" bestFit="1" customWidth="1"/>
    <col min="15902" max="15902" width="11.42578125" customWidth="1"/>
    <col min="15904" max="15904" width="20.140625" bestFit="1" customWidth="1"/>
    <col min="15905" max="15906" width="12.28515625" customWidth="1"/>
    <col min="15907" max="15907" width="9" bestFit="1" customWidth="1"/>
    <col min="15908" max="15908" width="11.85546875" bestFit="1" customWidth="1"/>
    <col min="15910" max="15910" width="15" customWidth="1"/>
    <col min="16120" max="16128" width="0" hidden="1" customWidth="1"/>
    <col min="16130" max="16130" width="20.28515625" bestFit="1" customWidth="1"/>
    <col min="16131" max="16131" width="13.28515625" customWidth="1"/>
    <col min="16132" max="16132" width="12.42578125" bestFit="1" customWidth="1"/>
    <col min="16133" max="16133" width="11.7109375" bestFit="1" customWidth="1"/>
    <col min="16134" max="16134" width="14.7109375" bestFit="1" customWidth="1"/>
    <col min="16136" max="16136" width="20.28515625" bestFit="1" customWidth="1"/>
    <col min="16137" max="16137" width="21" customWidth="1"/>
    <col min="16138" max="16138" width="12.85546875" customWidth="1"/>
    <col min="16139" max="16139" width="11.7109375" bestFit="1" customWidth="1"/>
    <col min="16140" max="16140" width="13.5703125" bestFit="1" customWidth="1"/>
    <col min="16142" max="16142" width="23.85546875" bestFit="1" customWidth="1"/>
    <col min="16143" max="16143" width="13.7109375" customWidth="1"/>
    <col min="16144" max="16144" width="12.85546875" customWidth="1"/>
    <col min="16145" max="16145" width="11.7109375" bestFit="1" customWidth="1"/>
    <col min="16146" max="16146" width="14" bestFit="1" customWidth="1"/>
    <col min="16148" max="16148" width="19.85546875" bestFit="1" customWidth="1"/>
    <col min="16149" max="16149" width="13" customWidth="1"/>
    <col min="16150" max="16150" width="12.5703125" customWidth="1"/>
    <col min="16151" max="16151" width="12" bestFit="1" customWidth="1"/>
    <col min="16152" max="16152" width="12.5703125" customWidth="1"/>
    <col min="16154" max="16154" width="19.85546875" bestFit="1" customWidth="1"/>
    <col min="16155" max="16155" width="13.28515625" customWidth="1"/>
    <col min="16156" max="16156" width="12.28515625" customWidth="1"/>
    <col min="16157" max="16157" width="11.7109375" bestFit="1" customWidth="1"/>
    <col min="16158" max="16158" width="11.42578125" customWidth="1"/>
    <col min="16160" max="16160" width="20.140625" bestFit="1" customWidth="1"/>
    <col min="16161" max="16162" width="12.28515625" customWidth="1"/>
    <col min="16163" max="16163" width="9" bestFit="1" customWidth="1"/>
    <col min="16164" max="16164" width="11.85546875" bestFit="1" customWidth="1"/>
    <col min="16166" max="16166" width="15" customWidth="1"/>
  </cols>
  <sheetData>
    <row r="1" spans="1:40" ht="15.75">
      <c r="A1" s="1344" t="s">
        <v>300</v>
      </c>
      <c r="B1" s="1345"/>
      <c r="C1" s="1345"/>
      <c r="D1" s="1345"/>
      <c r="E1" s="1345"/>
      <c r="F1" s="1345"/>
      <c r="G1" s="1345"/>
      <c r="H1" s="1345"/>
      <c r="I1" s="1345"/>
      <c r="J1" s="1346"/>
      <c r="AF1" t="s">
        <v>301</v>
      </c>
    </row>
    <row r="2" spans="1:40" ht="15.75" thickBot="1">
      <c r="A2" s="1347" t="s">
        <v>302</v>
      </c>
      <c r="B2" s="1348"/>
      <c r="C2" s="829">
        <v>1</v>
      </c>
      <c r="D2" s="829">
        <v>2</v>
      </c>
      <c r="E2" s="829">
        <v>3</v>
      </c>
      <c r="F2" s="829">
        <v>4</v>
      </c>
      <c r="G2" s="829">
        <v>5</v>
      </c>
      <c r="H2" s="829">
        <v>6</v>
      </c>
      <c r="I2" s="830" t="s">
        <v>172</v>
      </c>
      <c r="J2" s="831"/>
      <c r="L2" s="832" t="s">
        <v>303</v>
      </c>
      <c r="N2" s="833"/>
      <c r="S2" s="833"/>
      <c r="X2" s="833"/>
      <c r="AC2" s="833"/>
      <c r="AF2" s="834"/>
      <c r="AG2" s="834"/>
      <c r="AH2" s="835"/>
      <c r="AI2" s="834"/>
    </row>
    <row r="3" spans="1:40" ht="24.75">
      <c r="A3" s="1349" t="s">
        <v>189</v>
      </c>
      <c r="B3" s="1349"/>
      <c r="C3" s="836">
        <f>54801*(3.933%+1)*(2.64386%+1)*(1.87%+1)</f>
        <v>59555.411336178404</v>
      </c>
      <c r="D3" s="836">
        <f>54801*(3.933%+1)*(2.64386%+1)*(1.87%+1)</f>
        <v>59555.411336178404</v>
      </c>
      <c r="E3" s="836">
        <f>54801*(3.933%+1)*(2.64386%+1)*(1.87%+1)</f>
        <v>59555.411336178404</v>
      </c>
      <c r="F3" s="836">
        <f>54801*(3.933%+1)*(2.64386%+1)*(1.87%+1)</f>
        <v>59555.411336178404</v>
      </c>
      <c r="G3" s="836"/>
      <c r="H3" s="836">
        <f>54801*(3.933%+1)*(2.64386%+1)*(1.87%+1)</f>
        <v>59555.411336178404</v>
      </c>
      <c r="I3" s="837"/>
      <c r="J3" s="838" t="s">
        <v>304</v>
      </c>
      <c r="L3" s="1350" t="s">
        <v>305</v>
      </c>
      <c r="M3" s="1351"/>
      <c r="N3" s="1351"/>
      <c r="O3" s="1352"/>
      <c r="P3" s="839"/>
      <c r="Q3" s="1350" t="s">
        <v>306</v>
      </c>
      <c r="R3" s="1351"/>
      <c r="S3" s="1351"/>
      <c r="T3" s="1352"/>
      <c r="V3" s="1364" t="s">
        <v>307</v>
      </c>
      <c r="W3" s="1365"/>
      <c r="X3" s="1365"/>
      <c r="Y3" s="1366"/>
      <c r="AA3" s="1353" t="s">
        <v>308</v>
      </c>
      <c r="AB3" s="1354"/>
      <c r="AC3" s="1354"/>
      <c r="AD3" s="1355"/>
      <c r="AE3" s="840"/>
      <c r="AF3" s="1356" t="s">
        <v>309</v>
      </c>
      <c r="AG3" s="1357"/>
      <c r="AH3" s="1357"/>
      <c r="AI3" s="1358"/>
      <c r="AJ3" s="839"/>
      <c r="AK3" s="1359" t="s">
        <v>310</v>
      </c>
      <c r="AL3" s="1360"/>
      <c r="AM3" s="1360"/>
      <c r="AN3" s="1361"/>
    </row>
    <row r="4" spans="1:40" ht="24.75">
      <c r="A4" s="1362" t="s">
        <v>311</v>
      </c>
      <c r="B4" s="1363"/>
      <c r="C4" s="836">
        <f>54801*(3.933%+1)*(2.64386%+1)*(1.87%+1)</f>
        <v>59555.411336178404</v>
      </c>
      <c r="D4" s="836">
        <f>54801*(3.933%+1)*(2.64386%+1)*(1.87%+1)</f>
        <v>59555.411336178404</v>
      </c>
      <c r="E4" s="841"/>
      <c r="F4" s="841"/>
      <c r="G4" s="841"/>
      <c r="H4" s="836">
        <f>54801*(3.933%+1)*(2.64386%+1)*(1.87%+1)</f>
        <v>59555.411336178404</v>
      </c>
      <c r="I4" s="837"/>
      <c r="J4" s="838" t="s">
        <v>304</v>
      </c>
      <c r="L4" s="842"/>
      <c r="M4" s="843"/>
      <c r="N4" s="844" t="s">
        <v>312</v>
      </c>
      <c r="O4" s="845" t="s">
        <v>313</v>
      </c>
      <c r="P4" s="846"/>
      <c r="Q4" s="847"/>
      <c r="R4" s="843"/>
      <c r="S4" s="844" t="s">
        <v>312</v>
      </c>
      <c r="T4" s="848" t="s">
        <v>313</v>
      </c>
      <c r="V4" s="847"/>
      <c r="W4" s="843"/>
      <c r="X4" s="844" t="s">
        <v>314</v>
      </c>
      <c r="Y4" s="845" t="s">
        <v>313</v>
      </c>
      <c r="AA4" s="847"/>
      <c r="AB4" s="843"/>
      <c r="AC4" s="844" t="s">
        <v>314</v>
      </c>
      <c r="AD4" s="845" t="s">
        <v>313</v>
      </c>
      <c r="AE4" s="846"/>
      <c r="AF4" s="849"/>
      <c r="AG4" s="850"/>
      <c r="AH4" s="851" t="s">
        <v>314</v>
      </c>
      <c r="AI4" s="852" t="s">
        <v>313</v>
      </c>
      <c r="AJ4" s="846"/>
      <c r="AK4" s="853"/>
      <c r="AL4" s="854"/>
      <c r="AM4" s="855" t="s">
        <v>314</v>
      </c>
      <c r="AN4" s="856" t="s">
        <v>313</v>
      </c>
    </row>
    <row r="5" spans="1:40" ht="46.9" customHeight="1">
      <c r="A5" s="1349" t="s">
        <v>315</v>
      </c>
      <c r="B5" s="1349"/>
      <c r="C5" s="836"/>
      <c r="D5" s="836"/>
      <c r="E5" s="841"/>
      <c r="F5" s="841"/>
      <c r="G5" s="836"/>
      <c r="H5" s="841"/>
      <c r="I5" s="857">
        <f>[11]Chart!C6</f>
        <v>41516.800000000003</v>
      </c>
      <c r="J5" s="858" t="s">
        <v>182</v>
      </c>
      <c r="L5" s="859" t="s">
        <v>316</v>
      </c>
      <c r="M5" s="1213">
        <f t="shared" ref="M5:M6" si="0">C3</f>
        <v>59555.411336178404</v>
      </c>
      <c r="N5" s="864">
        <f t="shared" ref="N5:N6" si="1">C20</f>
        <v>0.82</v>
      </c>
      <c r="O5" s="860">
        <f t="shared" ref="O5:O11" si="2">M5*N5</f>
        <v>48835.437295666285</v>
      </c>
      <c r="P5" s="861"/>
      <c r="Q5" s="862" t="str">
        <f>A3</f>
        <v>Program Director</v>
      </c>
      <c r="R5" s="863">
        <f>D3</f>
        <v>59555.411336178404</v>
      </c>
      <c r="S5" s="864">
        <f>D20</f>
        <v>0.63</v>
      </c>
      <c r="T5" s="865">
        <f t="shared" ref="T5:T10" si="3">R5*S5</f>
        <v>37519.909141792392</v>
      </c>
      <c r="U5" s="976"/>
      <c r="V5" s="867" t="str">
        <f>A3</f>
        <v>Program Director</v>
      </c>
      <c r="W5" s="863">
        <f>E3</f>
        <v>59555.411336178404</v>
      </c>
      <c r="X5" s="868">
        <f>+E20</f>
        <v>3.88</v>
      </c>
      <c r="Y5" s="865">
        <f>W5*X5</f>
        <v>231074.99598437219</v>
      </c>
      <c r="Z5" s="976"/>
      <c r="AA5" s="862" t="str">
        <f>A3</f>
        <v>Program Director</v>
      </c>
      <c r="AB5" s="863">
        <f>F3</f>
        <v>59555.411336178404</v>
      </c>
      <c r="AC5" s="864">
        <f>+F20</f>
        <v>0.5</v>
      </c>
      <c r="AD5" s="865">
        <f>AB5*AC5</f>
        <v>29777.705668089202</v>
      </c>
      <c r="AE5" s="869"/>
      <c r="AF5" s="870" t="str">
        <f>A12</f>
        <v>Prog F. Mngr</v>
      </c>
      <c r="AG5" s="871">
        <f>+G12</f>
        <v>59555.411336178404</v>
      </c>
      <c r="AH5" s="872">
        <f>+G29</f>
        <v>0.05</v>
      </c>
      <c r="AI5" s="873">
        <f>AG5*AH5</f>
        <v>2977.7705668089202</v>
      </c>
      <c r="AJ5" s="869"/>
      <c r="AK5" s="874" t="s">
        <v>317</v>
      </c>
      <c r="AL5" s="875">
        <f>+H3</f>
        <v>59555.411336178404</v>
      </c>
      <c r="AM5" s="864">
        <f>+H20</f>
        <v>0.19</v>
      </c>
      <c r="AN5" s="865">
        <f t="shared" ref="AN5:AN13" si="4">AL5*AM5</f>
        <v>11315.528153873896</v>
      </c>
    </row>
    <row r="6" spans="1:40" ht="36.75">
      <c r="A6" s="1343" t="s">
        <v>318</v>
      </c>
      <c r="B6" s="1343"/>
      <c r="C6" s="836"/>
      <c r="D6" s="841"/>
      <c r="E6" s="841"/>
      <c r="F6" s="841"/>
      <c r="G6" s="841"/>
      <c r="H6" s="836"/>
      <c r="I6" s="837">
        <f>I5</f>
        <v>41516.800000000003</v>
      </c>
      <c r="J6" s="838" t="s">
        <v>182</v>
      </c>
      <c r="L6" s="859" t="s">
        <v>311</v>
      </c>
      <c r="M6" s="1213">
        <f t="shared" si="0"/>
        <v>59555.411336178404</v>
      </c>
      <c r="N6" s="864">
        <f t="shared" si="1"/>
        <v>0.8</v>
      </c>
      <c r="O6" s="860">
        <f t="shared" si="2"/>
        <v>47644.329068942723</v>
      </c>
      <c r="P6" s="861"/>
      <c r="Q6" s="874" t="str">
        <f>A4</f>
        <v>Asst prog dir</v>
      </c>
      <c r="R6" s="863">
        <f>D4</f>
        <v>59555.411336178404</v>
      </c>
      <c r="S6" s="864">
        <v>1.05</v>
      </c>
      <c r="T6" s="865">
        <f t="shared" si="3"/>
        <v>62533.18190298733</v>
      </c>
      <c r="U6" s="976"/>
      <c r="V6" s="867" t="str">
        <f>A12</f>
        <v>Prog F. Mngr</v>
      </c>
      <c r="W6" s="863">
        <f>E12</f>
        <v>59555.411336178404</v>
      </c>
      <c r="X6" s="864">
        <f>+E29</f>
        <v>0.95</v>
      </c>
      <c r="Y6" s="865">
        <f>W6*X6</f>
        <v>56577.640769369478</v>
      </c>
      <c r="Z6" s="976"/>
      <c r="AA6" s="874" t="str">
        <f>A15</f>
        <v xml:space="preserve">Caseworker </v>
      </c>
      <c r="AB6" s="863">
        <f>I15</f>
        <v>43971.200000000004</v>
      </c>
      <c r="AC6" s="864">
        <f>+F32</f>
        <v>0.85</v>
      </c>
      <c r="AD6" s="865">
        <f>AB6*AC6</f>
        <v>37375.520000000004</v>
      </c>
      <c r="AE6" s="869"/>
      <c r="AF6" s="876" t="s">
        <v>315</v>
      </c>
      <c r="AG6" s="871">
        <f>I5</f>
        <v>41516.800000000003</v>
      </c>
      <c r="AH6" s="872">
        <f>+G22</f>
        <v>0.6</v>
      </c>
      <c r="AI6" s="873">
        <f>AG6*AH6</f>
        <v>24910.080000000002</v>
      </c>
      <c r="AJ6" s="869"/>
      <c r="AK6" s="874" t="s">
        <v>319</v>
      </c>
      <c r="AL6" s="875">
        <f>+H12</f>
        <v>59555.411336178404</v>
      </c>
      <c r="AM6" s="864">
        <f>+H29</f>
        <v>3.67</v>
      </c>
      <c r="AN6" s="865">
        <f t="shared" si="4"/>
        <v>218568.35960377473</v>
      </c>
    </row>
    <row r="7" spans="1:40" ht="25.5" thickBot="1">
      <c r="A7" s="1368" t="s">
        <v>320</v>
      </c>
      <c r="B7" s="1368"/>
      <c r="C7" s="836"/>
      <c r="D7" s="841"/>
      <c r="E7" s="841"/>
      <c r="F7" s="877"/>
      <c r="G7" s="877"/>
      <c r="H7" s="877"/>
      <c r="I7" s="878">
        <f>[11]Chart!C4</f>
        <v>32198.400000000001</v>
      </c>
      <c r="J7" s="838" t="s">
        <v>188</v>
      </c>
      <c r="L7" s="859" t="s">
        <v>315</v>
      </c>
      <c r="M7" s="1213">
        <f>I5</f>
        <v>41516.800000000003</v>
      </c>
      <c r="N7" s="864">
        <v>0.55000000000000004</v>
      </c>
      <c r="O7" s="860">
        <f t="shared" si="2"/>
        <v>22834.240000000005</v>
      </c>
      <c r="P7" s="861"/>
      <c r="Q7" s="862" t="str">
        <f>A5</f>
        <v>Supervisory</v>
      </c>
      <c r="R7" s="863">
        <f>M7</f>
        <v>41516.800000000003</v>
      </c>
      <c r="S7" s="864">
        <v>4.2</v>
      </c>
      <c r="T7" s="865">
        <f t="shared" si="3"/>
        <v>174370.56000000003</v>
      </c>
      <c r="U7" s="976"/>
      <c r="V7" s="859" t="str">
        <f>A13</f>
        <v>Clinical</v>
      </c>
      <c r="W7" s="863">
        <f>I13</f>
        <v>52665.599999999999</v>
      </c>
      <c r="X7" s="868">
        <f>+E30</f>
        <v>0.16</v>
      </c>
      <c r="Y7" s="865">
        <f>W7*X7</f>
        <v>8426.4959999999992</v>
      </c>
      <c r="Z7" s="976"/>
      <c r="AA7" s="874" t="str">
        <f>A13</f>
        <v>Clinical</v>
      </c>
      <c r="AB7" s="863">
        <f>I13</f>
        <v>52665.599999999999</v>
      </c>
      <c r="AC7" s="864">
        <f>+F30</f>
        <v>0.5</v>
      </c>
      <c r="AD7" s="865">
        <f>AB7*AC7</f>
        <v>26332.799999999999</v>
      </c>
      <c r="AE7" s="869"/>
      <c r="AF7" s="876" t="s">
        <v>321</v>
      </c>
      <c r="AG7" s="871">
        <f>I16</f>
        <v>43971.200000000004</v>
      </c>
      <c r="AH7" s="872">
        <f>+G33</f>
        <v>2</v>
      </c>
      <c r="AI7" s="873">
        <f>AG7*AH7</f>
        <v>87942.400000000009</v>
      </c>
      <c r="AJ7" s="869"/>
      <c r="AK7" s="874" t="s">
        <v>322</v>
      </c>
      <c r="AL7" s="875">
        <f>+H4</f>
        <v>59555.411336178404</v>
      </c>
      <c r="AM7" s="864">
        <f>+H21</f>
        <v>0.62</v>
      </c>
      <c r="AN7" s="865">
        <f t="shared" si="4"/>
        <v>36924.355028430611</v>
      </c>
    </row>
    <row r="8" spans="1:40" ht="25.5" thickBot="1">
      <c r="A8" s="1368" t="s">
        <v>323</v>
      </c>
      <c r="B8" s="1368"/>
      <c r="C8" s="836"/>
      <c r="D8" s="841"/>
      <c r="E8" s="841"/>
      <c r="F8" s="877"/>
      <c r="G8" s="877"/>
      <c r="H8" s="836"/>
      <c r="I8" s="837">
        <f>I7</f>
        <v>32198.400000000001</v>
      </c>
      <c r="J8" s="838" t="s">
        <v>188</v>
      </c>
      <c r="L8" s="859" t="s">
        <v>318</v>
      </c>
      <c r="M8" s="1213">
        <f>I6</f>
        <v>41516.800000000003</v>
      </c>
      <c r="N8" s="864">
        <v>5.46</v>
      </c>
      <c r="O8" s="860">
        <f t="shared" si="2"/>
        <v>226681.728</v>
      </c>
      <c r="P8" s="861"/>
      <c r="Q8" s="874" t="str">
        <f>A10</f>
        <v>Non Specialist</v>
      </c>
      <c r="R8" s="863">
        <f>I10</f>
        <v>32198.400000000001</v>
      </c>
      <c r="S8" s="864">
        <v>6</v>
      </c>
      <c r="T8" s="865">
        <f t="shared" si="3"/>
        <v>193190.40000000002</v>
      </c>
      <c r="U8" s="976"/>
      <c r="V8" s="859" t="str">
        <f>A14</f>
        <v>Direct Care</v>
      </c>
      <c r="W8" s="863">
        <f>I7</f>
        <v>32198.400000000001</v>
      </c>
      <c r="X8" s="868">
        <f>+E31</f>
        <v>0.02</v>
      </c>
      <c r="Y8" s="865">
        <f>W8*X8</f>
        <v>643.96800000000007</v>
      </c>
      <c r="Z8" s="976"/>
      <c r="AA8" s="874" t="str">
        <f>A9</f>
        <v>Support</v>
      </c>
      <c r="AB8" s="863">
        <f>I9</f>
        <v>32198.400000000001</v>
      </c>
      <c r="AC8" s="864">
        <f>+F26</f>
        <v>0.5</v>
      </c>
      <c r="AD8" s="865">
        <f>AB8*AC8</f>
        <v>16099.2</v>
      </c>
      <c r="AE8" s="869"/>
      <c r="AF8" s="879" t="s">
        <v>196</v>
      </c>
      <c r="AG8" s="880"/>
      <c r="AH8" s="881">
        <f>SUM(AH5:AH7)</f>
        <v>2.65</v>
      </c>
      <c r="AI8" s="882">
        <f>SUM(AI5:AI7)</f>
        <v>115830.25056680893</v>
      </c>
      <c r="AJ8" s="883"/>
      <c r="AK8" s="874" t="s">
        <v>324</v>
      </c>
      <c r="AL8" s="875">
        <f>I17</f>
        <v>86860.800000000003</v>
      </c>
      <c r="AM8" s="864">
        <f>+H34</f>
        <v>0.04</v>
      </c>
      <c r="AN8" s="865">
        <f t="shared" si="4"/>
        <v>3474.4320000000002</v>
      </c>
    </row>
    <row r="9" spans="1:40" ht="25.5" thickBot="1">
      <c r="A9" s="1362" t="s">
        <v>187</v>
      </c>
      <c r="B9" s="1363"/>
      <c r="C9" s="836"/>
      <c r="D9" s="884"/>
      <c r="E9" s="884"/>
      <c r="F9" s="884"/>
      <c r="G9" s="877"/>
      <c r="H9" s="884"/>
      <c r="I9" s="885">
        <f>I8</f>
        <v>32198.400000000001</v>
      </c>
      <c r="J9" s="838" t="s">
        <v>188</v>
      </c>
      <c r="L9" s="859" t="s">
        <v>320</v>
      </c>
      <c r="M9" s="1213">
        <f>I7</f>
        <v>32198.400000000001</v>
      </c>
      <c r="N9" s="864">
        <v>2</v>
      </c>
      <c r="O9" s="860">
        <f t="shared" si="2"/>
        <v>64396.800000000003</v>
      </c>
      <c r="P9" s="861"/>
      <c r="Q9" s="874" t="str">
        <f>A11</f>
        <v>Specialist (LICSW)</v>
      </c>
      <c r="R9" s="863">
        <f>I11</f>
        <v>60923.199999999997</v>
      </c>
      <c r="S9" s="864">
        <v>6.3</v>
      </c>
      <c r="T9" s="865">
        <f t="shared" si="3"/>
        <v>383816.16</v>
      </c>
      <c r="U9" s="976"/>
      <c r="V9" s="886" t="str">
        <f>A9</f>
        <v>Support</v>
      </c>
      <c r="W9" s="1214">
        <f>I9</f>
        <v>32198.400000000001</v>
      </c>
      <c r="X9" s="887">
        <f>+E26</f>
        <v>2.74</v>
      </c>
      <c r="Y9" s="888">
        <f>W9*X9</f>
        <v>88223.616000000009</v>
      </c>
      <c r="Z9" s="976"/>
      <c r="AA9" s="889" t="s">
        <v>196</v>
      </c>
      <c r="AB9" s="890"/>
      <c r="AC9" s="891">
        <f>SUM(AC5:AC8)</f>
        <v>2.35</v>
      </c>
      <c r="AD9" s="892">
        <f>SUM(AD5:AD8)</f>
        <v>109585.2256680892</v>
      </c>
      <c r="AE9" s="883"/>
      <c r="AF9" s="876"/>
      <c r="AG9" s="893"/>
      <c r="AH9" s="893"/>
      <c r="AI9" s="894"/>
      <c r="AJ9" s="864"/>
      <c r="AK9" s="874" t="s">
        <v>325</v>
      </c>
      <c r="AL9" s="875">
        <f>I18</f>
        <v>57449.599999999999</v>
      </c>
      <c r="AM9" s="864">
        <f>+H35</f>
        <v>0.28000000000000003</v>
      </c>
      <c r="AN9" s="865">
        <f t="shared" si="4"/>
        <v>16085.888000000001</v>
      </c>
    </row>
    <row r="10" spans="1:40" ht="25.5" thickBot="1">
      <c r="A10" s="1369" t="s">
        <v>326</v>
      </c>
      <c r="B10" s="1370"/>
      <c r="C10" s="841"/>
      <c r="D10" s="884"/>
      <c r="E10" s="841"/>
      <c r="F10" s="841"/>
      <c r="G10" s="841"/>
      <c r="H10" s="841"/>
      <c r="I10" s="857">
        <f>I9</f>
        <v>32198.400000000001</v>
      </c>
      <c r="J10" s="838" t="s">
        <v>188</v>
      </c>
      <c r="L10" s="859" t="s">
        <v>323</v>
      </c>
      <c r="M10" s="1213">
        <f>I8</f>
        <v>32198.400000000001</v>
      </c>
      <c r="N10" s="864">
        <v>0.67</v>
      </c>
      <c r="O10" s="860">
        <f t="shared" si="2"/>
        <v>21572.928000000004</v>
      </c>
      <c r="P10" s="861"/>
      <c r="Q10" s="874" t="str">
        <f>A9</f>
        <v>Support</v>
      </c>
      <c r="R10" s="863">
        <f>M11</f>
        <v>32198.400000000001</v>
      </c>
      <c r="S10" s="864">
        <v>1.1000000000000001</v>
      </c>
      <c r="T10" s="865">
        <f t="shared" si="3"/>
        <v>35418.240000000005</v>
      </c>
      <c r="U10" s="976"/>
      <c r="V10" s="895" t="s">
        <v>196</v>
      </c>
      <c r="W10" s="896"/>
      <c r="X10" s="897">
        <f>SUM(X5:X9)</f>
        <v>7.75</v>
      </c>
      <c r="Y10" s="898">
        <f>SUM(Y5:Y9)</f>
        <v>384946.71675374161</v>
      </c>
      <c r="Z10" s="976"/>
      <c r="AA10" s="874"/>
      <c r="AB10" s="899"/>
      <c r="AC10" s="899"/>
      <c r="AD10" s="900"/>
      <c r="AE10" s="864"/>
      <c r="AF10" s="901" t="s">
        <v>327</v>
      </c>
      <c r="AG10" s="902"/>
      <c r="AH10" s="903">
        <f>C55</f>
        <v>0.22309999999999999</v>
      </c>
      <c r="AI10" s="904">
        <f>AH10*AI8</f>
        <v>25841.72890145507</v>
      </c>
      <c r="AJ10" s="869"/>
      <c r="AK10" s="874" t="str">
        <f>A15</f>
        <v xml:space="preserve">Caseworker </v>
      </c>
      <c r="AL10" s="875">
        <f>I15</f>
        <v>43971.200000000004</v>
      </c>
      <c r="AM10" s="864">
        <f>+H32</f>
        <v>0.8</v>
      </c>
      <c r="AN10" s="865">
        <f t="shared" si="4"/>
        <v>35176.960000000006</v>
      </c>
    </row>
    <row r="11" spans="1:40" ht="26.25" thickTop="1" thickBot="1">
      <c r="A11" s="1371" t="s">
        <v>328</v>
      </c>
      <c r="B11" s="1371"/>
      <c r="C11" s="841"/>
      <c r="D11" s="884"/>
      <c r="E11" s="841"/>
      <c r="F11" s="841"/>
      <c r="G11" s="841"/>
      <c r="H11" s="841"/>
      <c r="I11" s="857">
        <f>[11]Chart!C14</f>
        <v>60923.199999999997</v>
      </c>
      <c r="J11" s="838" t="s">
        <v>284</v>
      </c>
      <c r="L11" s="859" t="s">
        <v>187</v>
      </c>
      <c r="M11" s="1213">
        <f>I9</f>
        <v>32198.400000000001</v>
      </c>
      <c r="N11" s="864">
        <v>0.6</v>
      </c>
      <c r="O11" s="860">
        <f t="shared" si="2"/>
        <v>19319.04</v>
      </c>
      <c r="P11" s="861"/>
      <c r="Q11" s="889" t="s">
        <v>196</v>
      </c>
      <c r="R11" s="905"/>
      <c r="S11" s="906">
        <f>SUM(S5:S10)</f>
        <v>19.28</v>
      </c>
      <c r="T11" s="907">
        <f>SUM(T5:T10)</f>
        <v>886848.45104477974</v>
      </c>
      <c r="U11" s="976"/>
      <c r="V11" s="859"/>
      <c r="W11" s="908"/>
      <c r="X11" s="908"/>
      <c r="Y11" s="909"/>
      <c r="Z11" s="976"/>
      <c r="AA11" s="910" t="s">
        <v>48</v>
      </c>
      <c r="AB11" s="911"/>
      <c r="AC11" s="912">
        <f>C55</f>
        <v>0.22309999999999999</v>
      </c>
      <c r="AD11" s="913">
        <f>AC11*AD9</f>
        <v>24448.463846550701</v>
      </c>
      <c r="AE11" s="883"/>
      <c r="AF11" s="914" t="s">
        <v>329</v>
      </c>
      <c r="AG11" s="915"/>
      <c r="AH11" s="915"/>
      <c r="AI11" s="916">
        <f>AI8+AI10</f>
        <v>141671.97946826401</v>
      </c>
      <c r="AJ11" s="883"/>
      <c r="AK11" s="874" t="s">
        <v>318</v>
      </c>
      <c r="AL11" s="875">
        <f>I6</f>
        <v>41516.800000000003</v>
      </c>
      <c r="AM11" s="864">
        <v>3.5</v>
      </c>
      <c r="AN11" s="865">
        <f t="shared" si="4"/>
        <v>145308.80000000002</v>
      </c>
    </row>
    <row r="12" spans="1:40" ht="25.5" thickBot="1">
      <c r="A12" s="1349" t="s">
        <v>330</v>
      </c>
      <c r="B12" s="1349"/>
      <c r="C12" s="841">
        <v>0</v>
      </c>
      <c r="D12" s="841">
        <v>0</v>
      </c>
      <c r="E12" s="884">
        <f>54801*(3.933%+1)*(2.64386%+1)*(1.87%+1)</f>
        <v>59555.411336178404</v>
      </c>
      <c r="F12" s="841">
        <v>0</v>
      </c>
      <c r="G12" s="917">
        <f>54801*(3.933%+1)*(2.64386%+1)*(1.87%+1)</f>
        <v>59555.411336178404</v>
      </c>
      <c r="H12" s="917">
        <f>54801*(3.933%+1)*(2.64386%+1)*(1.87%+1)</f>
        <v>59555.411336178404</v>
      </c>
      <c r="I12" s="918"/>
      <c r="J12" s="838" t="s">
        <v>304</v>
      </c>
      <c r="L12" s="889" t="s">
        <v>196</v>
      </c>
      <c r="M12" s="919"/>
      <c r="N12" s="906">
        <f>SUM(N5:N11)</f>
        <v>10.899999999999999</v>
      </c>
      <c r="O12" s="920">
        <f>SUM(O5:O11)</f>
        <v>451284.50236460898</v>
      </c>
      <c r="P12" s="921"/>
      <c r="Q12" s="859"/>
      <c r="R12" s="908"/>
      <c r="S12" s="908"/>
      <c r="T12" s="922"/>
      <c r="U12" s="179"/>
      <c r="V12" s="923" t="s">
        <v>48</v>
      </c>
      <c r="W12" s="924"/>
      <c r="X12" s="912">
        <f>C55</f>
        <v>0.22309999999999999</v>
      </c>
      <c r="Y12" s="925">
        <f>X12*Y10</f>
        <v>85881.612507759753</v>
      </c>
      <c r="Z12" s="976"/>
      <c r="AA12" s="926" t="s">
        <v>331</v>
      </c>
      <c r="AB12" s="896"/>
      <c r="AC12" s="896"/>
      <c r="AD12" s="898">
        <f>AD9+AD11</f>
        <v>134033.6895146399</v>
      </c>
      <c r="AE12" s="883"/>
      <c r="AF12" s="876" t="str">
        <f>A56</f>
        <v>PFLMA Trust Contribution</v>
      </c>
      <c r="AG12" s="927">
        <f>C56</f>
        <v>3.7000000000000002E-3</v>
      </c>
      <c r="AH12" s="893"/>
      <c r="AI12" s="928">
        <f>AG12*AI8</f>
        <v>428.57192709719305</v>
      </c>
      <c r="AJ12" s="929"/>
      <c r="AK12" s="874" t="s">
        <v>323</v>
      </c>
      <c r="AL12" s="875">
        <f>I8</f>
        <v>32198.400000000001</v>
      </c>
      <c r="AM12" s="864">
        <v>2</v>
      </c>
      <c r="AN12" s="865">
        <f t="shared" si="4"/>
        <v>64396.800000000003</v>
      </c>
    </row>
    <row r="13" spans="1:40" ht="25.5" thickBot="1">
      <c r="A13" s="1367" t="s">
        <v>332</v>
      </c>
      <c r="B13" s="1367"/>
      <c r="C13" s="841"/>
      <c r="D13" s="841"/>
      <c r="E13" s="884"/>
      <c r="F13" s="884"/>
      <c r="G13" s="930"/>
      <c r="H13" s="930"/>
      <c r="I13" s="931">
        <f>[11]Chart!C12</f>
        <v>52665.599999999999</v>
      </c>
      <c r="J13" s="838" t="s">
        <v>333</v>
      </c>
      <c r="L13" s="932"/>
      <c r="M13" s="933"/>
      <c r="N13" s="934"/>
      <c r="O13" s="935"/>
      <c r="P13" s="921"/>
      <c r="Q13" s="936" t="s">
        <v>48</v>
      </c>
      <c r="R13" s="908"/>
      <c r="S13" s="977">
        <f>C55</f>
        <v>0.22309999999999999</v>
      </c>
      <c r="T13" s="937">
        <f>S13*T11</f>
        <v>197855.88942809036</v>
      </c>
      <c r="U13" s="1215"/>
      <c r="V13" s="926" t="s">
        <v>331</v>
      </c>
      <c r="W13" s="939"/>
      <c r="X13" s="939"/>
      <c r="Y13" s="940">
        <f>Y10+Y12</f>
        <v>470828.32926150138</v>
      </c>
      <c r="Z13" s="976"/>
      <c r="AA13" s="874" t="str">
        <f>A56</f>
        <v>PFLMA Trust Contribution</v>
      </c>
      <c r="AB13" s="977">
        <f>C56</f>
        <v>3.7000000000000002E-3</v>
      </c>
      <c r="AC13" s="899"/>
      <c r="AD13" s="941">
        <f>AB13*AD9</f>
        <v>405.46533497193008</v>
      </c>
      <c r="AE13" s="929"/>
      <c r="AF13" s="942" t="s">
        <v>334</v>
      </c>
      <c r="AG13" s="943">
        <f>ROUND(G39,0)</f>
        <v>4383</v>
      </c>
      <c r="AH13" s="893"/>
      <c r="AI13" s="944">
        <f>+G42</f>
        <v>11614.949999999999</v>
      </c>
      <c r="AJ13" s="875"/>
      <c r="AK13" s="874" t="s">
        <v>187</v>
      </c>
      <c r="AL13" s="875">
        <f>I9</f>
        <v>32198.400000000001</v>
      </c>
      <c r="AM13" s="864">
        <v>0.4</v>
      </c>
      <c r="AN13" s="865">
        <f t="shared" si="4"/>
        <v>12879.36</v>
      </c>
    </row>
    <row r="14" spans="1:40" ht="26.25" thickTop="1" thickBot="1">
      <c r="A14" s="1367" t="s">
        <v>335</v>
      </c>
      <c r="B14" s="1367"/>
      <c r="C14" s="930"/>
      <c r="D14" s="930"/>
      <c r="E14" s="884"/>
      <c r="F14" s="930"/>
      <c r="G14" s="930"/>
      <c r="H14" s="930"/>
      <c r="I14" s="931">
        <f>I8</f>
        <v>32198.400000000001</v>
      </c>
      <c r="J14" s="838" t="s">
        <v>188</v>
      </c>
      <c r="L14" s="936" t="s">
        <v>48</v>
      </c>
      <c r="M14" s="908"/>
      <c r="N14" s="1216">
        <f>C55</f>
        <v>0.22309999999999999</v>
      </c>
      <c r="O14" s="945">
        <f>O12*N14</f>
        <v>100681.57247754426</v>
      </c>
      <c r="P14" s="921"/>
      <c r="Q14" s="926" t="s">
        <v>331</v>
      </c>
      <c r="R14" s="939"/>
      <c r="S14" s="939"/>
      <c r="T14" s="940">
        <f>T11+T13</f>
        <v>1084704.34047287</v>
      </c>
      <c r="U14" s="976"/>
      <c r="V14" s="859" t="str">
        <f>A56</f>
        <v>PFLMA Trust Contribution</v>
      </c>
      <c r="W14" s="952">
        <f>R15</f>
        <v>3.7000000000000002E-3</v>
      </c>
      <c r="X14" s="908"/>
      <c r="Y14" s="946">
        <f>W14*Y10</f>
        <v>1424.3028519888439</v>
      </c>
      <c r="Z14" s="179"/>
      <c r="AA14" s="859" t="s">
        <v>334</v>
      </c>
      <c r="AB14" s="875">
        <f>+F39</f>
        <v>4382.8939968031145</v>
      </c>
      <c r="AC14" s="899"/>
      <c r="AD14" s="947">
        <f>+F42</f>
        <v>10299.800892487319</v>
      </c>
      <c r="AE14" s="875"/>
      <c r="AF14" s="876" t="s">
        <v>336</v>
      </c>
      <c r="AG14" s="893"/>
      <c r="AH14" s="893"/>
      <c r="AI14" s="944">
        <f>+G44</f>
        <v>1417.1321031071811</v>
      </c>
      <c r="AJ14" s="875"/>
      <c r="AK14" s="889" t="s">
        <v>196</v>
      </c>
      <c r="AL14" s="948"/>
      <c r="AM14" s="949">
        <f>SUM(AM5:AM13)</f>
        <v>11.5</v>
      </c>
      <c r="AN14" s="950">
        <f>SUM(AN5:AN13)</f>
        <v>544130.48278607929</v>
      </c>
    </row>
    <row r="15" spans="1:40" ht="26.25" thickTop="1" thickBot="1">
      <c r="A15" s="1367" t="s">
        <v>337</v>
      </c>
      <c r="B15" s="1367"/>
      <c r="C15" s="930"/>
      <c r="D15" s="930"/>
      <c r="E15" s="930"/>
      <c r="F15" s="884"/>
      <c r="G15" s="930"/>
      <c r="H15" s="917"/>
      <c r="I15" s="918">
        <f>[11]Chart!C10</f>
        <v>43971.200000000004</v>
      </c>
      <c r="J15" s="838" t="s">
        <v>286</v>
      </c>
      <c r="L15" s="926" t="s">
        <v>331</v>
      </c>
      <c r="M15" s="939"/>
      <c r="N15" s="939"/>
      <c r="O15" s="951">
        <f>O14+O12</f>
        <v>551966.07484215323</v>
      </c>
      <c r="P15" s="921"/>
      <c r="Q15" s="859" t="str">
        <f>A56</f>
        <v>PFLMA Trust Contribution</v>
      </c>
      <c r="R15" s="952">
        <f>C56</f>
        <v>3.7000000000000002E-3</v>
      </c>
      <c r="S15" s="952"/>
      <c r="T15" s="953">
        <f>R15*T11</f>
        <v>3281.339268865685</v>
      </c>
      <c r="U15" s="976"/>
      <c r="V15" s="859" t="s">
        <v>338</v>
      </c>
      <c r="W15" s="908"/>
      <c r="X15" s="908"/>
      <c r="Y15" s="954">
        <f>+E42</f>
        <v>97598.453055020422</v>
      </c>
      <c r="Z15" s="976"/>
      <c r="AA15" s="955" t="s">
        <v>339</v>
      </c>
      <c r="AB15" s="956">
        <f>F40</f>
        <v>0.2</v>
      </c>
      <c r="AC15" s="957"/>
      <c r="AD15" s="958">
        <f>+F43</f>
        <v>21917.045133617841</v>
      </c>
      <c r="AE15" s="875"/>
      <c r="AF15" s="876" t="s">
        <v>340</v>
      </c>
      <c r="AG15" s="893"/>
      <c r="AH15" s="893"/>
      <c r="AI15" s="959">
        <f>+G50</f>
        <v>522.73047668294032</v>
      </c>
      <c r="AJ15" s="861"/>
      <c r="AK15" s="874"/>
      <c r="AL15" s="960"/>
      <c r="AM15" s="899"/>
      <c r="AN15" s="961"/>
    </row>
    <row r="16" spans="1:40" ht="25.5" thickTop="1">
      <c r="A16" s="1367" t="s">
        <v>321</v>
      </c>
      <c r="B16" s="1367"/>
      <c r="C16" s="930"/>
      <c r="D16" s="930"/>
      <c r="E16" s="930"/>
      <c r="F16" s="930"/>
      <c r="G16" s="917"/>
      <c r="H16" s="930"/>
      <c r="I16" s="931">
        <f>[11]Chart!C10</f>
        <v>43971.200000000004</v>
      </c>
      <c r="J16" s="838" t="s">
        <v>286</v>
      </c>
      <c r="L16" s="874" t="str">
        <f>A56</f>
        <v>PFLMA Trust Contribution</v>
      </c>
      <c r="M16" s="952">
        <f>C56</f>
        <v>3.7000000000000002E-3</v>
      </c>
      <c r="N16" s="952"/>
      <c r="O16" s="962">
        <f>M16*O12</f>
        <v>1669.7526587490534</v>
      </c>
      <c r="P16" s="963"/>
      <c r="Q16" s="859" t="s">
        <v>338</v>
      </c>
      <c r="R16" s="908"/>
      <c r="S16" s="908"/>
      <c r="T16" s="962">
        <f>D42</f>
        <v>130054.47319251734</v>
      </c>
      <c r="U16" s="976"/>
      <c r="V16" s="859" t="s">
        <v>341</v>
      </c>
      <c r="W16" s="908"/>
      <c r="X16" s="908"/>
      <c r="Y16" s="954">
        <f>+E49</f>
        <v>311966.85259367607</v>
      </c>
      <c r="Z16" s="976"/>
      <c r="AA16" s="964" t="s">
        <v>342</v>
      </c>
      <c r="AB16" s="899"/>
      <c r="AC16" s="899"/>
      <c r="AD16" s="965">
        <f>SUM(AD12:AD15)</f>
        <v>166656.000875717</v>
      </c>
      <c r="AE16" s="883"/>
      <c r="AF16" s="876" t="s">
        <v>343</v>
      </c>
      <c r="AG16" s="893"/>
      <c r="AH16" s="893"/>
      <c r="AI16" s="959">
        <f>+G46</f>
        <v>304.29216937884257</v>
      </c>
      <c r="AJ16" s="861"/>
      <c r="AK16" s="910" t="s">
        <v>48</v>
      </c>
      <c r="AL16" s="966"/>
      <c r="AM16" s="912">
        <f>+C55</f>
        <v>0.22309999999999999</v>
      </c>
      <c r="AN16" s="888">
        <f>AM16*AN14</f>
        <v>121395.51070957429</v>
      </c>
    </row>
    <row r="17" spans="1:41" ht="15.75" thickBot="1">
      <c r="A17" s="1367" t="s">
        <v>324</v>
      </c>
      <c r="B17" s="1367"/>
      <c r="C17" s="930"/>
      <c r="D17" s="930"/>
      <c r="E17" s="930"/>
      <c r="F17" s="930"/>
      <c r="G17" s="930"/>
      <c r="H17" s="917"/>
      <c r="I17" s="918">
        <f>[11]Chart!C20</f>
        <v>86860.800000000003</v>
      </c>
      <c r="J17" s="838" t="s">
        <v>344</v>
      </c>
      <c r="L17" s="859" t="s">
        <v>338</v>
      </c>
      <c r="M17" s="908"/>
      <c r="N17" s="908"/>
      <c r="O17" s="962">
        <f>C42</f>
        <v>51165.528829176648</v>
      </c>
      <c r="P17" s="963"/>
      <c r="Q17" s="859" t="s">
        <v>343</v>
      </c>
      <c r="R17" s="908"/>
      <c r="S17" s="908"/>
      <c r="T17" s="962">
        <f>D46</f>
        <v>93455.732520477031</v>
      </c>
      <c r="U17" s="976"/>
      <c r="V17" s="859" t="s">
        <v>345</v>
      </c>
      <c r="W17" s="908"/>
      <c r="X17" s="908"/>
      <c r="Y17" s="954">
        <f>+E47</f>
        <v>13368.207055461226</v>
      </c>
      <c r="Z17" s="976"/>
      <c r="AA17" s="967" t="s">
        <v>346</v>
      </c>
      <c r="AB17" s="968">
        <f>C57</f>
        <v>0.12</v>
      </c>
      <c r="AC17" s="957"/>
      <c r="AD17" s="969">
        <f>AD16*AB17</f>
        <v>19998.720105086039</v>
      </c>
      <c r="AE17" s="869"/>
      <c r="AF17" s="970" t="s">
        <v>347</v>
      </c>
      <c r="AG17" s="971"/>
      <c r="AH17" s="971"/>
      <c r="AI17" s="972">
        <f>+G51</f>
        <v>5061.0308314188214</v>
      </c>
      <c r="AJ17" s="875"/>
      <c r="AK17" s="842" t="s">
        <v>329</v>
      </c>
      <c r="AL17" s="973"/>
      <c r="AM17" s="974"/>
      <c r="AN17" s="975">
        <f>AN14+AN16</f>
        <v>665525.99349565362</v>
      </c>
    </row>
    <row r="18" spans="1:41" ht="15.75" thickTop="1">
      <c r="A18" s="1367" t="s">
        <v>325</v>
      </c>
      <c r="B18" s="1367"/>
      <c r="C18" s="930"/>
      <c r="D18" s="930"/>
      <c r="E18" s="930"/>
      <c r="F18" s="930"/>
      <c r="G18" s="930"/>
      <c r="H18" s="917"/>
      <c r="I18" s="918">
        <f>[11]Chart!C18</f>
        <v>57449.599999999999</v>
      </c>
      <c r="J18" s="838" t="s">
        <v>348</v>
      </c>
      <c r="L18" s="859" t="s">
        <v>349</v>
      </c>
      <c r="M18" s="908"/>
      <c r="N18" s="908"/>
      <c r="O18" s="962">
        <f>C43</f>
        <v>43890.885159654703</v>
      </c>
      <c r="P18" s="963"/>
      <c r="Q18" s="859" t="s">
        <v>350</v>
      </c>
      <c r="R18" s="908"/>
      <c r="S18" s="908"/>
      <c r="T18" s="962">
        <f>D47</f>
        <v>19377.977400693369</v>
      </c>
      <c r="U18" s="976"/>
      <c r="V18" s="859" t="s">
        <v>351</v>
      </c>
      <c r="W18" s="908"/>
      <c r="X18" s="908"/>
      <c r="Y18" s="954">
        <f>+E52</f>
        <v>247650.35556446662</v>
      </c>
      <c r="Z18" s="976"/>
      <c r="AA18" s="859" t="s">
        <v>65</v>
      </c>
      <c r="AB18" s="977"/>
      <c r="AC18" s="899"/>
      <c r="AD18" s="865">
        <f>AD17+AD16</f>
        <v>186654.72098080305</v>
      </c>
      <c r="AE18" s="869"/>
      <c r="AF18" s="978" t="s">
        <v>342</v>
      </c>
      <c r="AG18" s="893"/>
      <c r="AH18" s="893"/>
      <c r="AI18" s="873">
        <f>SUM(AI11:AI17)</f>
        <v>161020.68697594898</v>
      </c>
      <c r="AJ18" s="869"/>
      <c r="AK18" s="874" t="str">
        <f>A56</f>
        <v>PFLMA Trust Contribution</v>
      </c>
      <c r="AL18" s="1219">
        <f>C56</f>
        <v>3.7000000000000002E-3</v>
      </c>
      <c r="AM18" s="899"/>
      <c r="AN18" s="980">
        <f>AL18*AN14</f>
        <v>2013.2827863084935</v>
      </c>
    </row>
    <row r="19" spans="1:41" ht="26.25" customHeight="1" thickBot="1">
      <c r="A19" s="1372" t="s">
        <v>352</v>
      </c>
      <c r="B19" s="1373"/>
      <c r="C19" s="981">
        <v>1</v>
      </c>
      <c r="D19" s="981">
        <v>2</v>
      </c>
      <c r="E19" s="981">
        <v>3</v>
      </c>
      <c r="F19" s="981">
        <v>4</v>
      </c>
      <c r="G19" s="981">
        <v>5</v>
      </c>
      <c r="H19" s="981">
        <v>6</v>
      </c>
      <c r="I19" s="982"/>
      <c r="J19" s="831"/>
      <c r="L19" s="983" t="s">
        <v>353</v>
      </c>
      <c r="M19" s="863">
        <f>C37</f>
        <v>2813.6158090065119</v>
      </c>
      <c r="N19" s="908"/>
      <c r="O19" s="962">
        <f>C44</f>
        <v>25125.589174428151</v>
      </c>
      <c r="P19" s="963"/>
      <c r="Q19" s="859" t="s">
        <v>354</v>
      </c>
      <c r="R19" s="908"/>
      <c r="S19" s="908"/>
      <c r="T19" s="962">
        <f>D48</f>
        <v>117219.86419121685</v>
      </c>
      <c r="U19" s="976"/>
      <c r="V19" s="859" t="s">
        <v>355</v>
      </c>
      <c r="W19" s="863">
        <f>+E37</f>
        <v>8437.5871537761923</v>
      </c>
      <c r="X19" s="908"/>
      <c r="Y19" s="1078">
        <f>+E44</f>
        <v>27107.881905415063</v>
      </c>
      <c r="Z19" s="985"/>
      <c r="AA19" s="859" t="str">
        <f>V28</f>
        <v>CAF</v>
      </c>
      <c r="AB19" s="977">
        <f>W28</f>
        <v>1.78E-2</v>
      </c>
      <c r="AC19" s="899"/>
      <c r="AD19" s="865">
        <f>(AD18*AB19)-(AD9*AB19)</f>
        <v>1371.8370165663066</v>
      </c>
      <c r="AE19" s="869"/>
      <c r="AF19" s="986" t="s">
        <v>346</v>
      </c>
      <c r="AG19" s="987">
        <f>C57</f>
        <v>0.12</v>
      </c>
      <c r="AH19" s="971"/>
      <c r="AI19" s="988">
        <f>AI18*AG19</f>
        <v>19322.482437113878</v>
      </c>
      <c r="AJ19" s="869"/>
      <c r="AK19" s="859" t="s">
        <v>334</v>
      </c>
      <c r="AL19" s="1220">
        <f>H39</f>
        <v>960.69384903891739</v>
      </c>
      <c r="AM19" s="899"/>
      <c r="AN19" s="989">
        <f>H42</f>
        <v>11050.956219446047</v>
      </c>
    </row>
    <row r="20" spans="1:41" ht="27.75" thickTop="1" thickBot="1">
      <c r="A20" s="1349" t="s">
        <v>189</v>
      </c>
      <c r="B20" s="1349"/>
      <c r="C20" s="990">
        <v>0.82</v>
      </c>
      <c r="D20" s="991">
        <v>0.63</v>
      </c>
      <c r="E20" s="991">
        <v>3.88</v>
      </c>
      <c r="F20" s="991">
        <v>0.5</v>
      </c>
      <c r="G20" s="992">
        <v>0</v>
      </c>
      <c r="H20" s="991">
        <v>0.19</v>
      </c>
      <c r="I20" s="993"/>
      <c r="J20" s="994" t="s">
        <v>356</v>
      </c>
      <c r="L20" s="955" t="s">
        <v>357</v>
      </c>
      <c r="M20" s="1217">
        <f>C38</f>
        <v>2849.4788146833048</v>
      </c>
      <c r="N20" s="957"/>
      <c r="O20" s="996">
        <f>C45</f>
        <v>23166.262763375271</v>
      </c>
      <c r="P20" s="963"/>
      <c r="Q20" s="997" t="s">
        <v>358</v>
      </c>
      <c r="R20" s="863">
        <f>D37</f>
        <v>2119.1776081740823</v>
      </c>
      <c r="S20" s="908"/>
      <c r="T20" s="962">
        <f>+D44</f>
        <v>37191.567023455143</v>
      </c>
      <c r="U20" s="985"/>
      <c r="V20" s="859" t="s">
        <v>359</v>
      </c>
      <c r="W20" s="908"/>
      <c r="X20" s="908"/>
      <c r="Y20" s="954">
        <f>+E53</f>
        <v>3912.3278920136904</v>
      </c>
      <c r="Z20" s="976"/>
      <c r="AA20" s="910" t="s">
        <v>360</v>
      </c>
      <c r="AB20" s="911"/>
      <c r="AC20" s="911"/>
      <c r="AD20" s="888">
        <f>AD18+AD19</f>
        <v>188026.55799736935</v>
      </c>
      <c r="AE20" s="869"/>
      <c r="AF20" s="914" t="s">
        <v>65</v>
      </c>
      <c r="AG20" s="999"/>
      <c r="AH20" s="999"/>
      <c r="AI20" s="1000">
        <f>AI18+AI19</f>
        <v>180343.16941306286</v>
      </c>
      <c r="AJ20" s="869"/>
      <c r="AK20" s="874" t="s">
        <v>351</v>
      </c>
      <c r="AL20" s="899"/>
      <c r="AM20" s="899"/>
      <c r="AN20" s="947">
        <f>+H52</f>
        <v>65186.989985182554</v>
      </c>
    </row>
    <row r="21" spans="1:41" ht="15.75" customHeight="1" thickTop="1" thickBot="1">
      <c r="A21" s="1368" t="s">
        <v>311</v>
      </c>
      <c r="B21" s="1368"/>
      <c r="C21" s="990">
        <v>0.8</v>
      </c>
      <c r="D21" s="991">
        <v>1.04</v>
      </c>
      <c r="E21" s="992">
        <v>0</v>
      </c>
      <c r="F21" s="992">
        <v>0</v>
      </c>
      <c r="G21" s="992">
        <v>0</v>
      </c>
      <c r="H21" s="991">
        <v>0.62</v>
      </c>
      <c r="I21" s="993"/>
      <c r="J21" s="994" t="s">
        <v>356</v>
      </c>
      <c r="L21" s="964" t="s">
        <v>342</v>
      </c>
      <c r="M21" s="908"/>
      <c r="N21" s="908"/>
      <c r="O21" s="945">
        <f>SUM(O15:O20)</f>
        <v>696984.09342753701</v>
      </c>
      <c r="P21" s="921"/>
      <c r="Q21" s="955" t="s">
        <v>361</v>
      </c>
      <c r="R21" s="995">
        <f>D38</f>
        <v>2849.4788146833048</v>
      </c>
      <c r="S21" s="1001"/>
      <c r="T21" s="1002">
        <f>+D45</f>
        <v>35048.589420604651</v>
      </c>
      <c r="U21" s="998"/>
      <c r="V21" s="859" t="s">
        <v>340</v>
      </c>
      <c r="W21" s="908"/>
      <c r="X21" s="908"/>
      <c r="Y21" s="1003">
        <f>+E50</f>
        <v>43899.579221636952</v>
      </c>
      <c r="Z21" s="866"/>
      <c r="AA21" s="1004" t="s">
        <v>362</v>
      </c>
      <c r="AB21" s="899"/>
      <c r="AC21" s="899"/>
      <c r="AD21" s="1005">
        <f>AD20/365/10</f>
        <v>51.51412547873133</v>
      </c>
      <c r="AE21" s="1006"/>
      <c r="AF21" s="914" t="str">
        <f>AA19</f>
        <v>CAF</v>
      </c>
      <c r="AG21" s="1007">
        <f>AB19</f>
        <v>1.78E-2</v>
      </c>
      <c r="AH21" s="1008"/>
      <c r="AI21" s="1009">
        <f>(AI20*AG21)-(AI8*AG21)</f>
        <v>1148.3299554633199</v>
      </c>
      <c r="AJ21" s="869"/>
      <c r="AK21" s="874" t="s">
        <v>363</v>
      </c>
      <c r="AL21" s="984">
        <f>+H37</f>
        <v>1364.5982335794197</v>
      </c>
      <c r="AM21" s="979"/>
      <c r="AN21" s="947">
        <f>+H47</f>
        <v>14887.766728351469</v>
      </c>
      <c r="AO21" s="532"/>
    </row>
    <row r="22" spans="1:41" ht="15.75" customHeight="1" thickTop="1" thickBot="1">
      <c r="A22" s="1349" t="s">
        <v>315</v>
      </c>
      <c r="B22" s="1349"/>
      <c r="C22" s="990">
        <v>0.54</v>
      </c>
      <c r="D22" s="991">
        <v>4.1900000000000004</v>
      </c>
      <c r="E22" s="992">
        <v>0</v>
      </c>
      <c r="F22" s="992">
        <v>0</v>
      </c>
      <c r="G22" s="991">
        <v>0.6</v>
      </c>
      <c r="H22" s="992">
        <v>0</v>
      </c>
      <c r="I22" s="1010"/>
      <c r="J22" s="994" t="s">
        <v>356</v>
      </c>
      <c r="L22" s="967" t="s">
        <v>346</v>
      </c>
      <c r="M22" s="1011">
        <f>C57</f>
        <v>0.12</v>
      </c>
      <c r="N22" s="1012"/>
      <c r="O22" s="996">
        <f>O21*M22</f>
        <v>83638.091211304432</v>
      </c>
      <c r="P22" s="963"/>
      <c r="Q22" s="964" t="s">
        <v>342</v>
      </c>
      <c r="R22" s="908"/>
      <c r="S22" s="908"/>
      <c r="T22" s="937">
        <f>SUM(T14:T21)</f>
        <v>1520333.8834907003</v>
      </c>
      <c r="U22" s="866"/>
      <c r="V22" s="859" t="s">
        <v>343</v>
      </c>
      <c r="W22" s="908"/>
      <c r="X22" s="908"/>
      <c r="Y22" s="954">
        <f>+E46</f>
        <v>55200.773040817614</v>
      </c>
      <c r="Z22" s="866"/>
      <c r="AA22" s="1013"/>
      <c r="AB22" s="1014"/>
      <c r="AC22" s="1015"/>
      <c r="AD22" s="1016">
        <f>AD21*(AB22+1)</f>
        <v>51.51412547873133</v>
      </c>
      <c r="AE22" s="1017"/>
      <c r="AF22" s="914" t="s">
        <v>65</v>
      </c>
      <c r="AG22" s="1008"/>
      <c r="AH22" s="1008"/>
      <c r="AI22" s="1009">
        <f>AI21+AI20</f>
        <v>181491.49936852619</v>
      </c>
      <c r="AJ22" s="1018"/>
      <c r="AK22" s="874" t="s">
        <v>364</v>
      </c>
      <c r="AL22" s="984">
        <f>+H40</f>
        <v>1683.887659877648</v>
      </c>
      <c r="AM22" s="979"/>
      <c r="AN22" s="947">
        <f>+H43</f>
        <v>18691.153024641892</v>
      </c>
      <c r="AO22" s="532"/>
    </row>
    <row r="23" spans="1:41" ht="15.75" customHeight="1" thickTop="1" thickBot="1">
      <c r="A23" s="1343" t="s">
        <v>318</v>
      </c>
      <c r="B23" s="1343"/>
      <c r="C23" s="990">
        <v>5.3</v>
      </c>
      <c r="D23" s="992">
        <v>0</v>
      </c>
      <c r="E23" s="992">
        <v>0</v>
      </c>
      <c r="F23" s="992">
        <v>0</v>
      </c>
      <c r="G23" s="992">
        <v>0</v>
      </c>
      <c r="H23" s="991">
        <v>3</v>
      </c>
      <c r="I23" s="993"/>
      <c r="J23" s="994" t="s">
        <v>356</v>
      </c>
      <c r="L23" s="910" t="s">
        <v>360</v>
      </c>
      <c r="M23" s="911"/>
      <c r="N23" s="924"/>
      <c r="O23" s="1019">
        <f>O21+O22</f>
        <v>780622.18463884143</v>
      </c>
      <c r="P23" s="1020"/>
      <c r="Q23" s="967" t="s">
        <v>346</v>
      </c>
      <c r="R23" s="1021">
        <f>C57</f>
        <v>0.12</v>
      </c>
      <c r="S23" s="1022"/>
      <c r="T23" s="1023">
        <f>T22*R23</f>
        <v>182440.06601888401</v>
      </c>
      <c r="U23" s="998"/>
      <c r="V23" s="859" t="s">
        <v>365</v>
      </c>
      <c r="W23" s="908"/>
      <c r="X23" s="908"/>
      <c r="Y23" s="1003">
        <f>+E43</f>
        <v>55641.996686416933</v>
      </c>
      <c r="Z23" s="866"/>
      <c r="AA23" s="938"/>
      <c r="AD23" s="1024"/>
      <c r="AE23" s="1025"/>
      <c r="AF23" s="1026" t="s">
        <v>362</v>
      </c>
      <c r="AG23" s="1008"/>
      <c r="AH23" s="1008"/>
      <c r="AI23" s="1009">
        <f>AI22/12</f>
        <v>15124.291614043848</v>
      </c>
      <c r="AJ23" s="1025"/>
      <c r="AK23" s="955" t="s">
        <v>366</v>
      </c>
      <c r="AL23" s="995">
        <f>+H38</f>
        <v>1539.9357286064999</v>
      </c>
      <c r="AM23" s="957"/>
      <c r="AN23" s="958">
        <f>+H45</f>
        <v>10194.374523375029</v>
      </c>
    </row>
    <row r="24" spans="1:41" ht="17.25" customHeight="1" thickTop="1" thickBot="1">
      <c r="A24" s="1368" t="s">
        <v>320</v>
      </c>
      <c r="B24" s="1368"/>
      <c r="C24" s="990">
        <v>2</v>
      </c>
      <c r="D24" s="992">
        <v>0</v>
      </c>
      <c r="E24" s="992">
        <v>0</v>
      </c>
      <c r="F24" s="992">
        <v>0</v>
      </c>
      <c r="G24" s="992">
        <v>0</v>
      </c>
      <c r="H24" s="992">
        <v>0</v>
      </c>
      <c r="I24" s="1010"/>
      <c r="J24" s="994" t="s">
        <v>356</v>
      </c>
      <c r="L24" s="1027" t="s">
        <v>51</v>
      </c>
      <c r="M24" s="1218">
        <f>C58</f>
        <v>1.78E-2</v>
      </c>
      <c r="N24" s="908"/>
      <c r="O24" s="1028">
        <f>(O23*M24+1)-(O12*M24+1)</f>
        <v>5862.2107444813382</v>
      </c>
      <c r="P24" s="1020"/>
      <c r="Q24" s="910" t="s">
        <v>360</v>
      </c>
      <c r="R24" s="911"/>
      <c r="S24" s="1029"/>
      <c r="T24" s="1030">
        <f>T23+T22</f>
        <v>1702773.9495095843</v>
      </c>
      <c r="U24" s="866"/>
      <c r="V24" s="967" t="s">
        <v>367</v>
      </c>
      <c r="W24" s="1022"/>
      <c r="X24" s="1022"/>
      <c r="Y24" s="1031">
        <f>+E45</f>
        <v>334935.47759303986</v>
      </c>
      <c r="Z24" s="866"/>
      <c r="AB24" s="1032"/>
      <c r="AD24" s="109"/>
      <c r="AF24" s="1033"/>
      <c r="AG24" s="1034"/>
      <c r="AH24" s="1035"/>
      <c r="AI24" s="1036">
        <f>AI23*(AG24+1)</f>
        <v>15124.291614043848</v>
      </c>
      <c r="AK24" s="964" t="s">
        <v>342</v>
      </c>
      <c r="AL24" s="899"/>
      <c r="AM24" s="899"/>
      <c r="AN24" s="865">
        <f>SUM(AN17:AN23)</f>
        <v>787550.51676295907</v>
      </c>
      <c r="AO24" s="532"/>
    </row>
    <row r="25" spans="1:41" ht="15.75" customHeight="1" thickTop="1" thickBot="1">
      <c r="A25" s="1368" t="s">
        <v>323</v>
      </c>
      <c r="B25" s="1368"/>
      <c r="C25" s="990">
        <v>0.66</v>
      </c>
      <c r="D25" s="1037">
        <v>0</v>
      </c>
      <c r="E25" s="1037">
        <v>0</v>
      </c>
      <c r="F25" s="1037">
        <v>0</v>
      </c>
      <c r="G25" s="1037">
        <v>0</v>
      </c>
      <c r="H25" s="991">
        <v>4.26</v>
      </c>
      <c r="I25" s="993"/>
      <c r="J25" s="994" t="s">
        <v>356</v>
      </c>
      <c r="L25" s="908" t="s">
        <v>368</v>
      </c>
      <c r="M25" s="899"/>
      <c r="N25" s="908"/>
      <c r="O25" s="962">
        <f>(O23+O24)/12</f>
        <v>65540.366281943556</v>
      </c>
      <c r="P25" s="963"/>
      <c r="Q25" s="859" t="str">
        <f>L24</f>
        <v>CAF</v>
      </c>
      <c r="R25" s="952">
        <f>M24</f>
        <v>1.78E-2</v>
      </c>
      <c r="S25" s="908"/>
      <c r="T25" s="1038">
        <f>(T24*R25+1)-(T11*R25+1)</f>
        <v>14523.473872673521</v>
      </c>
      <c r="U25" s="998"/>
      <c r="V25" s="964" t="s">
        <v>342</v>
      </c>
      <c r="W25" s="908"/>
      <c r="X25" s="908"/>
      <c r="Y25" s="937">
        <f>SUM(Y13:Y24)</f>
        <v>1663534.5367214547</v>
      </c>
      <c r="Z25" s="866"/>
      <c r="AD25" s="1032"/>
      <c r="AE25" s="1032"/>
      <c r="AF25" s="834"/>
      <c r="AG25" s="834"/>
      <c r="AH25" s="834" t="s">
        <v>252</v>
      </c>
      <c r="AI25" s="1039">
        <v>17329</v>
      </c>
      <c r="AK25" s="967" t="s">
        <v>346</v>
      </c>
      <c r="AL25" s="1011">
        <f>C57</f>
        <v>0.12</v>
      </c>
      <c r="AM25" s="957"/>
      <c r="AN25" s="969">
        <f>AN24*AL25</f>
        <v>94506.062011555085</v>
      </c>
      <c r="AO25" s="532"/>
    </row>
    <row r="26" spans="1:41" ht="16.5" thickTop="1" thickBot="1">
      <c r="A26" s="1368" t="s">
        <v>187</v>
      </c>
      <c r="B26" s="1368"/>
      <c r="C26" s="990">
        <v>0.59</v>
      </c>
      <c r="D26" s="991">
        <v>1.08</v>
      </c>
      <c r="E26" s="991">
        <v>2.74</v>
      </c>
      <c r="F26" s="991">
        <v>0.5</v>
      </c>
      <c r="G26" s="1037">
        <v>0</v>
      </c>
      <c r="H26" s="991">
        <v>0.36</v>
      </c>
      <c r="I26" s="993"/>
      <c r="J26" s="994" t="s">
        <v>356</v>
      </c>
      <c r="L26" s="1040"/>
      <c r="M26" s="1041"/>
      <c r="N26" s="1042"/>
      <c r="O26" s="1043">
        <f>O25*(M26+1)</f>
        <v>65540.366281943556</v>
      </c>
      <c r="P26" s="963"/>
      <c r="Q26" s="847" t="s">
        <v>360</v>
      </c>
      <c r="R26" s="1044"/>
      <c r="S26" s="1044"/>
      <c r="T26" s="1045">
        <f>T25+T24</f>
        <v>1717297.4233822578</v>
      </c>
      <c r="U26" s="866"/>
      <c r="V26" s="859" t="s">
        <v>346</v>
      </c>
      <c r="W26" s="952">
        <f>C57</f>
        <v>0.12</v>
      </c>
      <c r="X26" s="908"/>
      <c r="Y26" s="1038">
        <f>Y25*W26</f>
        <v>199624.14440657455</v>
      </c>
      <c r="Z26" s="1046"/>
      <c r="AB26" s="33"/>
      <c r="AF26" s="1047"/>
      <c r="AG26" s="1047"/>
      <c r="AH26" s="834"/>
      <c r="AI26" s="1048">
        <f>(AI24-AI25)/AI25</f>
        <v>-0.12722652120469455</v>
      </c>
      <c r="AK26" s="842" t="s">
        <v>65</v>
      </c>
      <c r="AL26" s="974"/>
      <c r="AM26" s="974"/>
      <c r="AN26" s="975">
        <f>AN24+AN25</f>
        <v>882056.57877451414</v>
      </c>
      <c r="AO26" s="532"/>
    </row>
    <row r="27" spans="1:41" ht="15.75" customHeight="1">
      <c r="A27" s="1371" t="s">
        <v>326</v>
      </c>
      <c r="B27" s="1371"/>
      <c r="C27" s="990">
        <v>0</v>
      </c>
      <c r="D27" s="991">
        <v>5.95</v>
      </c>
      <c r="E27" s="1037">
        <v>0</v>
      </c>
      <c r="F27" s="1037">
        <v>0</v>
      </c>
      <c r="G27" s="1037">
        <v>0</v>
      </c>
      <c r="H27" s="1037">
        <v>0</v>
      </c>
      <c r="I27" s="1049"/>
      <c r="J27" s="994" t="s">
        <v>356</v>
      </c>
      <c r="L27" s="12"/>
      <c r="M27" s="1050"/>
      <c r="O27" s="42"/>
      <c r="Q27" s="1051" t="s">
        <v>368</v>
      </c>
      <c r="R27" s="1044"/>
      <c r="S27" s="1044"/>
      <c r="T27" s="1052">
        <f>T26/12</f>
        <v>143108.11861518814</v>
      </c>
      <c r="V27" s="847" t="s">
        <v>65</v>
      </c>
      <c r="W27" s="1053"/>
      <c r="X27" s="1044"/>
      <c r="Y27" s="1054">
        <f>Y25+Y26</f>
        <v>1863158.6811280292</v>
      </c>
      <c r="Z27" s="866"/>
      <c r="AA27" s="1055"/>
      <c r="AF27" s="834"/>
      <c r="AG27" s="834"/>
      <c r="AH27" s="834"/>
      <c r="AI27" s="834"/>
      <c r="AK27" s="964" t="str">
        <f>AF21</f>
        <v>CAF</v>
      </c>
      <c r="AL27" s="1056">
        <f>AG21</f>
        <v>1.78E-2</v>
      </c>
      <c r="AM27" s="974"/>
      <c r="AN27" s="975">
        <f>(AN26*AL27)-(AN14*AL27)</f>
        <v>6015.0845085941401</v>
      </c>
      <c r="AO27" s="532"/>
    </row>
    <row r="28" spans="1:41" ht="15.75" customHeight="1" thickBot="1">
      <c r="A28" s="1371" t="s">
        <v>328</v>
      </c>
      <c r="B28" s="1371"/>
      <c r="C28" s="990">
        <v>0</v>
      </c>
      <c r="D28" s="991">
        <v>6.28</v>
      </c>
      <c r="E28" s="1037">
        <v>0</v>
      </c>
      <c r="F28" s="1037">
        <v>0</v>
      </c>
      <c r="G28" s="1037">
        <v>0</v>
      </c>
      <c r="H28" s="1037">
        <v>0</v>
      </c>
      <c r="I28" s="1049"/>
      <c r="J28" s="994" t="s">
        <v>356</v>
      </c>
      <c r="M28" s="12"/>
      <c r="N28" s="12"/>
      <c r="O28" s="109"/>
      <c r="Q28" s="1013"/>
      <c r="R28" s="1057"/>
      <c r="S28" s="1058"/>
      <c r="T28" s="1059">
        <f>T27*(R28+1)</f>
        <v>143108.11861518814</v>
      </c>
      <c r="V28" s="936" t="str">
        <f>Q25</f>
        <v>CAF</v>
      </c>
      <c r="W28" s="1060">
        <f>R25</f>
        <v>1.78E-2</v>
      </c>
      <c r="X28" s="908"/>
      <c r="Y28" s="937">
        <f>(Y27*W28)-(Y10*W28)</f>
        <v>26312.172965862319</v>
      </c>
      <c r="Z28" s="1061"/>
      <c r="AF28" s="834"/>
      <c r="AG28" s="834"/>
      <c r="AH28" s="834"/>
      <c r="AI28" s="834"/>
      <c r="AK28" s="842" t="s">
        <v>65</v>
      </c>
      <c r="AL28" s="911"/>
      <c r="AM28" s="911"/>
      <c r="AN28" s="888">
        <f>AN27+AN26</f>
        <v>888071.66328310827</v>
      </c>
    </row>
    <row r="29" spans="1:41" ht="15.75" customHeight="1">
      <c r="A29" s="1349" t="s">
        <v>330</v>
      </c>
      <c r="B29" s="1349"/>
      <c r="C29" s="990">
        <v>0</v>
      </c>
      <c r="D29" s="1037">
        <v>0</v>
      </c>
      <c r="E29" s="991">
        <v>0.95</v>
      </c>
      <c r="F29" s="1037">
        <v>0</v>
      </c>
      <c r="G29" s="991">
        <v>0.05</v>
      </c>
      <c r="H29" s="991">
        <v>3.67</v>
      </c>
      <c r="I29" s="993"/>
      <c r="J29" s="994" t="s">
        <v>356</v>
      </c>
      <c r="M29" s="1050"/>
      <c r="N29" s="1032"/>
      <c r="Q29" s="908"/>
      <c r="R29" s="1062"/>
      <c r="S29" s="1062"/>
      <c r="T29" s="1063"/>
      <c r="U29" s="1064"/>
      <c r="V29" s="847" t="s">
        <v>65</v>
      </c>
      <c r="W29" s="1053"/>
      <c r="X29" s="1044"/>
      <c r="Y29" s="1054">
        <f>Y28+Y27</f>
        <v>1889470.8540938916</v>
      </c>
      <c r="Z29" s="1065"/>
      <c r="AF29" s="834"/>
      <c r="AG29" s="834"/>
      <c r="AH29" s="834"/>
      <c r="AI29" s="834"/>
      <c r="AK29" s="874" t="s">
        <v>369</v>
      </c>
      <c r="AL29" s="1066">
        <v>0.8</v>
      </c>
      <c r="AM29" s="899"/>
      <c r="AN29" s="961"/>
    </row>
    <row r="30" spans="1:41" ht="15.75" customHeight="1">
      <c r="A30" s="1367" t="s">
        <v>332</v>
      </c>
      <c r="B30" s="1367"/>
      <c r="C30" s="990">
        <v>0</v>
      </c>
      <c r="D30" s="1037">
        <v>0</v>
      </c>
      <c r="E30" s="991">
        <v>0.16</v>
      </c>
      <c r="F30" s="991">
        <v>0.5</v>
      </c>
      <c r="G30" s="1037">
        <v>0</v>
      </c>
      <c r="H30" s="1037">
        <v>0</v>
      </c>
      <c r="I30" s="1049"/>
      <c r="J30" s="994" t="s">
        <v>356</v>
      </c>
      <c r="M30" s="1067"/>
      <c r="N30" s="1067"/>
      <c r="Q30" s="1068"/>
      <c r="R30" s="1062"/>
      <c r="S30" s="1062"/>
      <c r="T30" s="1069"/>
      <c r="V30" s="859" t="s">
        <v>368</v>
      </c>
      <c r="W30" s="908"/>
      <c r="X30" s="908"/>
      <c r="Y30" s="1038">
        <f>Y27/12</f>
        <v>155263.22342733576</v>
      </c>
      <c r="Z30" s="1065"/>
      <c r="AK30" s="874" t="s">
        <v>370</v>
      </c>
      <c r="AL30" s="899"/>
      <c r="AM30" s="899"/>
      <c r="AN30" s="1070">
        <f>AN28/0.8/365/10</f>
        <v>304.13413126133844</v>
      </c>
      <c r="AO30" s="1025"/>
    </row>
    <row r="31" spans="1:41" ht="15" customHeight="1" thickBot="1">
      <c r="A31" s="1367" t="s">
        <v>371</v>
      </c>
      <c r="B31" s="1367"/>
      <c r="C31" s="990">
        <v>0</v>
      </c>
      <c r="D31" s="1037">
        <v>0</v>
      </c>
      <c r="E31" s="991">
        <v>0.02</v>
      </c>
      <c r="F31" s="1037">
        <v>0</v>
      </c>
      <c r="G31" s="1037">
        <v>0</v>
      </c>
      <c r="H31" s="1037">
        <v>0</v>
      </c>
      <c r="I31" s="1049"/>
      <c r="J31" s="994" t="s">
        <v>356</v>
      </c>
      <c r="Q31" s="532"/>
      <c r="T31" s="1064"/>
      <c r="V31" s="859" t="s">
        <v>372</v>
      </c>
      <c r="W31" s="1071">
        <v>25.32</v>
      </c>
      <c r="X31" s="1072">
        <v>9000</v>
      </c>
      <c r="Y31" s="1038">
        <f>W31*9000</f>
        <v>227880</v>
      </c>
      <c r="AK31" s="1073"/>
      <c r="AL31" s="1041"/>
      <c r="AM31" s="1074"/>
      <c r="AN31" s="1075">
        <f>AN30*(AL31+1)-0.01</f>
        <v>304.12413126133845</v>
      </c>
    </row>
    <row r="32" spans="1:41" ht="15.75" customHeight="1">
      <c r="A32" s="1367" t="s">
        <v>373</v>
      </c>
      <c r="B32" s="1367"/>
      <c r="C32" s="990">
        <v>0</v>
      </c>
      <c r="D32" s="1037">
        <v>0</v>
      </c>
      <c r="E32" s="1037">
        <v>0</v>
      </c>
      <c r="F32" s="991">
        <v>0.85</v>
      </c>
      <c r="G32" s="1037">
        <v>0</v>
      </c>
      <c r="H32" s="991">
        <v>0.8</v>
      </c>
      <c r="I32" s="993"/>
      <c r="J32" s="994" t="s">
        <v>356</v>
      </c>
      <c r="V32" s="859" t="s">
        <v>374</v>
      </c>
      <c r="W32" s="1076">
        <v>25.16</v>
      </c>
      <c r="X32" s="1077">
        <v>9000</v>
      </c>
      <c r="Y32" s="1078">
        <f>W32*X32</f>
        <v>226440</v>
      </c>
      <c r="AN32" s="1024"/>
    </row>
    <row r="33" spans="1:40" ht="15.75" customHeight="1">
      <c r="A33" s="1367" t="s">
        <v>321</v>
      </c>
      <c r="B33" s="1367"/>
      <c r="C33" s="990">
        <v>0</v>
      </c>
      <c r="D33" s="1037">
        <v>0</v>
      </c>
      <c r="E33" s="1037">
        <v>0</v>
      </c>
      <c r="F33" s="1037">
        <v>0</v>
      </c>
      <c r="G33" s="991">
        <v>2</v>
      </c>
      <c r="H33" s="1037">
        <v>0</v>
      </c>
      <c r="I33" s="1049"/>
      <c r="J33" s="994" t="s">
        <v>356</v>
      </c>
      <c r="V33" s="859" t="s">
        <v>375</v>
      </c>
      <c r="W33" s="1076">
        <v>27.02</v>
      </c>
      <c r="X33" s="1077">
        <v>11800</v>
      </c>
      <c r="Y33" s="1078">
        <f>X33*W33</f>
        <v>318836</v>
      </c>
      <c r="Z33" s="1079"/>
      <c r="AA33" s="938"/>
      <c r="AN33" s="109"/>
    </row>
    <row r="34" spans="1:40" ht="15.75" customHeight="1">
      <c r="A34" s="1374" t="s">
        <v>324</v>
      </c>
      <c r="B34" s="1375"/>
      <c r="C34" s="990">
        <v>0</v>
      </c>
      <c r="D34" s="1037">
        <v>0</v>
      </c>
      <c r="E34" s="1037">
        <v>0</v>
      </c>
      <c r="F34" s="1037">
        <v>0</v>
      </c>
      <c r="G34" s="1037">
        <v>0</v>
      </c>
      <c r="H34" s="991">
        <v>0.04</v>
      </c>
      <c r="I34" s="993"/>
      <c r="J34" s="994" t="s">
        <v>356</v>
      </c>
      <c r="V34" s="859" t="s">
        <v>376</v>
      </c>
      <c r="W34" s="1080"/>
      <c r="X34" s="1081"/>
      <c r="Y34" s="1078">
        <f>Y29-Y32+2</f>
        <v>1663032.8540938916</v>
      </c>
      <c r="AK34" s="1082"/>
    </row>
    <row r="35" spans="1:40" ht="15.75" customHeight="1">
      <c r="A35" s="1367" t="s">
        <v>325</v>
      </c>
      <c r="B35" s="1367"/>
      <c r="C35" s="990">
        <v>0</v>
      </c>
      <c r="D35" s="1037">
        <v>0</v>
      </c>
      <c r="E35" s="1037">
        <v>0</v>
      </c>
      <c r="F35" s="1037">
        <v>0</v>
      </c>
      <c r="G35" s="1037">
        <v>0</v>
      </c>
      <c r="H35" s="991">
        <v>0.28000000000000003</v>
      </c>
      <c r="I35" s="993"/>
      <c r="J35" s="994" t="s">
        <v>356</v>
      </c>
      <c r="V35" s="859" t="s">
        <v>65</v>
      </c>
      <c r="W35" s="952"/>
      <c r="X35" s="1083"/>
      <c r="Y35" s="1038">
        <f>Y34+Y33</f>
        <v>1981868.8540938916</v>
      </c>
      <c r="AH35" s="1032"/>
      <c r="AL35" s="1082"/>
    </row>
    <row r="36" spans="1:40" ht="15.6" customHeight="1" thickBot="1">
      <c r="A36" s="1376" t="s">
        <v>377</v>
      </c>
      <c r="B36" s="1377"/>
      <c r="C36" s="1084">
        <v>1</v>
      </c>
      <c r="D36" s="1084">
        <v>2</v>
      </c>
      <c r="E36" s="1084">
        <v>3</v>
      </c>
      <c r="F36" s="1084">
        <v>4</v>
      </c>
      <c r="G36" s="1084">
        <v>5</v>
      </c>
      <c r="H36" s="1084">
        <v>6</v>
      </c>
      <c r="I36" s="1085"/>
      <c r="J36" s="1086"/>
      <c r="V36" s="1087" t="s">
        <v>378</v>
      </c>
      <c r="W36" s="1088"/>
      <c r="X36" s="1088"/>
      <c r="Y36" s="1089">
        <f>Y35/12</f>
        <v>165155.73784115762</v>
      </c>
      <c r="Z36" s="532"/>
    </row>
    <row r="37" spans="1:40" ht="16.899999999999999" customHeight="1">
      <c r="A37" s="1367" t="s">
        <v>379</v>
      </c>
      <c r="B37" s="1367"/>
      <c r="C37" s="1090">
        <f>2589*(3.933%+1)*(2.64386%+1)*(1.87%+1)</f>
        <v>2813.6158090065119</v>
      </c>
      <c r="D37" s="1090">
        <f>1950*(3.933%+1)*(2.64386%+1)*(1.87%+1)</f>
        <v>2119.1776081740823</v>
      </c>
      <c r="E37" s="1090">
        <f>7764*(3.933%+1)*(2.64386%+1)*(1.87%+1)</f>
        <v>8437.5871537761923</v>
      </c>
      <c r="F37" s="1090">
        <v>0</v>
      </c>
      <c r="G37" s="1090">
        <v>0</v>
      </c>
      <c r="H37" s="1091">
        <f>1255.66*(3.933%+1)*(2.64386%+1)*(1.87%+1)</f>
        <v>1364.5982335794197</v>
      </c>
      <c r="I37" s="1092"/>
      <c r="J37" s="1093" t="s">
        <v>380</v>
      </c>
      <c r="V37" s="1094"/>
      <c r="Y37" s="1095"/>
      <c r="Z37" s="1096"/>
      <c r="AL37" s="1082"/>
    </row>
    <row r="38" spans="1:40" ht="39.75" customHeight="1">
      <c r="A38" s="1378" t="s">
        <v>381</v>
      </c>
      <c r="B38" s="1378"/>
      <c r="C38" s="1090">
        <f>2622*(3.933%+1)*(2.64386%+1)*(1.87%+1)</f>
        <v>2849.4788146833048</v>
      </c>
      <c r="D38" s="1090">
        <f>2622*(3.933%+1)*(2.64386%+1)*(1.87%+1)</f>
        <v>2849.4788146833048</v>
      </c>
      <c r="E38" s="1090">
        <v>0</v>
      </c>
      <c r="F38" s="1090">
        <v>0</v>
      </c>
      <c r="G38" s="1090">
        <v>0</v>
      </c>
      <c r="H38" s="1090">
        <f>1417*(3.933%+1)*(2.64386%+1)*(1.87%+1)</f>
        <v>1539.9357286064999</v>
      </c>
      <c r="I38" s="1097"/>
      <c r="J38" s="1093" t="s">
        <v>382</v>
      </c>
      <c r="X38" s="938"/>
      <c r="Y38" s="109"/>
      <c r="Z38" s="1096"/>
    </row>
    <row r="39" spans="1:40" ht="39" customHeight="1">
      <c r="A39" s="1367" t="s">
        <v>338</v>
      </c>
      <c r="B39" s="1367"/>
      <c r="C39" s="1090">
        <v>0</v>
      </c>
      <c r="D39" s="1090">
        <v>0</v>
      </c>
      <c r="E39" s="1090">
        <v>0</v>
      </c>
      <c r="F39" s="1090">
        <f>4033*(3.933%+1)*(2.64386%+1)*(1.87%+1)</f>
        <v>4382.8939968031145</v>
      </c>
      <c r="G39" s="1098">
        <f>4033*(3.933%+1)*(2.64386%+1)*(1.87%+1)</f>
        <v>4382.8939968031145</v>
      </c>
      <c r="H39" s="1090">
        <f>884*(3.933%+1)*(2.64386%+1)*(1.87%+1)</f>
        <v>960.69384903891739</v>
      </c>
      <c r="I39" s="1097"/>
      <c r="J39" s="1093" t="s">
        <v>383</v>
      </c>
    </row>
    <row r="40" spans="1:40" ht="45.75" customHeight="1">
      <c r="A40" s="1379" t="s">
        <v>384</v>
      </c>
      <c r="B40" s="1380"/>
      <c r="C40" s="1090">
        <v>0</v>
      </c>
      <c r="D40" s="1090"/>
      <c r="E40" s="1090">
        <v>0</v>
      </c>
      <c r="F40" s="1099">
        <v>0.2</v>
      </c>
      <c r="G40" s="1090">
        <v>0</v>
      </c>
      <c r="H40" s="1090">
        <f>1549.46*(3.933%+1)*(2.64386%+1)*(1.87%+1)</f>
        <v>1683.887659877648</v>
      </c>
      <c r="I40" s="1097"/>
      <c r="J40" s="1093" t="s">
        <v>385</v>
      </c>
      <c r="W40" s="938"/>
    </row>
    <row r="41" spans="1:40">
      <c r="A41" s="1347" t="s">
        <v>386</v>
      </c>
      <c r="B41" s="1348"/>
      <c r="C41" s="981">
        <v>1</v>
      </c>
      <c r="D41" s="981">
        <v>2</v>
      </c>
      <c r="E41" s="981">
        <v>3</v>
      </c>
      <c r="F41" s="981">
        <v>4</v>
      </c>
      <c r="G41" s="981">
        <v>5</v>
      </c>
      <c r="H41" s="981">
        <v>6</v>
      </c>
      <c r="I41" s="1085"/>
      <c r="J41" s="1086"/>
    </row>
    <row r="42" spans="1:40">
      <c r="A42" s="1369" t="s">
        <v>338</v>
      </c>
      <c r="B42" s="1370"/>
      <c r="C42" s="1100">
        <f>47080.8963024389*(3.933%+1)*(2.64386%+1)*(1.87%+1)</f>
        <v>51165.528829176648</v>
      </c>
      <c r="D42" s="1101">
        <f>119672*(3.933%+1)*(2.64386%+1)*(1.87%+1)</f>
        <v>130054.47319251734</v>
      </c>
      <c r="E42" s="1100">
        <f>89807*(3.933%+1)*(2.64386%+1)*(1.87%+1)</f>
        <v>97598.453055020422</v>
      </c>
      <c r="F42" s="1102">
        <f>SUM(AC5:AC8)*AB14</f>
        <v>10299.800892487319</v>
      </c>
      <c r="G42" s="1102">
        <f>SUM(AH5:AH7)*AG13</f>
        <v>11614.949999999999</v>
      </c>
      <c r="H42" s="1103">
        <f>884.2382*AM14*(3.933%+1)*(2.64386%+1)*(1.87%+1)</f>
        <v>11050.956219446047</v>
      </c>
      <c r="I42" s="1104"/>
      <c r="J42" s="994" t="s">
        <v>356</v>
      </c>
    </row>
    <row r="43" spans="1:40">
      <c r="A43" s="1369" t="s">
        <v>349</v>
      </c>
      <c r="B43" s="1370"/>
      <c r="C43" s="1100">
        <f>40387*(3.933%+1)*(2.64386%+1)*(1.87%+1)</f>
        <v>43890.885159654703</v>
      </c>
      <c r="D43" s="1105">
        <v>0</v>
      </c>
      <c r="E43" s="1106">
        <f>51200*(3.933%+1)*(2.64386%+1)*(1.87%+1)</f>
        <v>55641.996686416933</v>
      </c>
      <c r="F43" s="1102">
        <f>AD9*0.2</f>
        <v>21917.045133617841</v>
      </c>
      <c r="G43" s="1101">
        <v>0</v>
      </c>
      <c r="H43" s="1102">
        <f>SUM(AM5:AM12)*AL22</f>
        <v>18691.153024641892</v>
      </c>
      <c r="I43" s="837"/>
      <c r="J43" s="994" t="s">
        <v>356</v>
      </c>
    </row>
    <row r="44" spans="1:40">
      <c r="A44" s="1382" t="s">
        <v>387</v>
      </c>
      <c r="B44" s="1383"/>
      <c r="C44" s="1102">
        <f>SUM(N6,N8:N10)*M19</f>
        <v>25125.589174428151</v>
      </c>
      <c r="D44" s="1102">
        <f>SUM(S6:S9)*R20</f>
        <v>37191.567023455143</v>
      </c>
      <c r="E44" s="1103">
        <f>3.13*(2.64386%+1)*W19</f>
        <v>27107.881905415063</v>
      </c>
      <c r="F44" s="1101">
        <v>0</v>
      </c>
      <c r="G44" s="1101">
        <f>1304*(3.933%+1)*(2.64386%+1)*(1.87%+1)</f>
        <v>1417.1321031071811</v>
      </c>
      <c r="H44" s="1101">
        <v>0</v>
      </c>
      <c r="I44" s="1107"/>
      <c r="J44" s="994" t="s">
        <v>356</v>
      </c>
    </row>
    <row r="45" spans="1:40">
      <c r="A45" s="1362" t="s">
        <v>381</v>
      </c>
      <c r="B45" s="1363"/>
      <c r="C45" s="1102">
        <f>SUM(N8:N10)*M20</f>
        <v>23166.262763375271</v>
      </c>
      <c r="D45" s="1102">
        <f>SUM(S8:S9)*R21</f>
        <v>35048.589420604651</v>
      </c>
      <c r="E45" s="1106">
        <f>308197*(3.933%+1)*(2.64386%+1)*(1.87%+1)</f>
        <v>334935.47759303986</v>
      </c>
      <c r="F45" s="1105">
        <v>0</v>
      </c>
      <c r="G45" s="1105">
        <v>0</v>
      </c>
      <c r="H45" s="1102">
        <f>SUM(AM8:AM12)*AL23</f>
        <v>10194.374523375029</v>
      </c>
      <c r="I45" s="837"/>
      <c r="J45" s="994" t="s">
        <v>356</v>
      </c>
    </row>
    <row r="46" spans="1:40">
      <c r="A46" s="1367" t="s">
        <v>343</v>
      </c>
      <c r="B46" s="1367"/>
      <c r="C46" s="1102">
        <v>0</v>
      </c>
      <c r="D46" s="1101">
        <f>85995*(3.933%+1)*(2.64386%+1)*(1.87%+1)</f>
        <v>93455.732520477031</v>
      </c>
      <c r="E46" s="1100">
        <f>50794*(3.933%+1)*(2.64386%+1)*(1.87%+1)</f>
        <v>55200.773040817614</v>
      </c>
      <c r="F46" s="836">
        <v>0</v>
      </c>
      <c r="G46" s="1101">
        <f>280*(3.933%+1)*(2.64386%+1)*(1.87%+1)</f>
        <v>304.29216937884257</v>
      </c>
      <c r="H46" s="836">
        <v>0</v>
      </c>
      <c r="I46" s="837"/>
      <c r="J46" s="994" t="s">
        <v>356</v>
      </c>
    </row>
    <row r="47" spans="1:40">
      <c r="A47" s="1367" t="s">
        <v>388</v>
      </c>
      <c r="B47" s="1367"/>
      <c r="C47" s="1102">
        <v>0</v>
      </c>
      <c r="D47" s="1101">
        <f>17831*(3.933%+1)*(2.64386%+1)*(1.87%+1)</f>
        <v>19377.977400693369</v>
      </c>
      <c r="E47" s="1100">
        <f>12301*(3.933%+1)*(2.64386%+1)*(1.87%+1)</f>
        <v>13368.207055461226</v>
      </c>
      <c r="F47" s="836">
        <v>0</v>
      </c>
      <c r="G47" s="836">
        <v>0</v>
      </c>
      <c r="H47" s="1108">
        <f>SUM(AM6:AM12)*AL21</f>
        <v>14887.766728351469</v>
      </c>
      <c r="I47" s="1109"/>
      <c r="J47" s="994" t="s">
        <v>356</v>
      </c>
    </row>
    <row r="48" spans="1:40">
      <c r="A48" s="1367" t="s">
        <v>354</v>
      </c>
      <c r="B48" s="1367"/>
      <c r="C48" s="1102">
        <v>0</v>
      </c>
      <c r="D48" s="1101">
        <f>107862*(3.933%+1)*(2.64386%+1)*(1.87%+1)</f>
        <v>117219.86419121685</v>
      </c>
      <c r="E48" s="1102">
        <v>0</v>
      </c>
      <c r="F48" s="836">
        <v>0</v>
      </c>
      <c r="G48" s="836">
        <v>0</v>
      </c>
      <c r="H48" s="836">
        <v>0</v>
      </c>
      <c r="I48" s="837"/>
      <c r="J48" s="994" t="s">
        <v>356</v>
      </c>
    </row>
    <row r="49" spans="1:11">
      <c r="A49" s="1384" t="s">
        <v>341</v>
      </c>
      <c r="B49" s="1384"/>
      <c r="C49" s="1102">
        <v>0</v>
      </c>
      <c r="D49" s="836">
        <v>0</v>
      </c>
      <c r="E49" s="1100">
        <f>287062*(3.933%+1)*(2.64386%+1)*(1.87%+1)</f>
        <v>311966.85259367607</v>
      </c>
      <c r="F49" s="836">
        <v>0</v>
      </c>
      <c r="G49" s="836">
        <v>0</v>
      </c>
      <c r="H49" s="836">
        <v>0</v>
      </c>
      <c r="I49" s="837"/>
      <c r="J49" s="994" t="s">
        <v>356</v>
      </c>
    </row>
    <row r="50" spans="1:11">
      <c r="A50" s="1367" t="s">
        <v>340</v>
      </c>
      <c r="B50" s="1367"/>
      <c r="C50" s="1102">
        <v>0</v>
      </c>
      <c r="D50" s="836">
        <v>0</v>
      </c>
      <c r="E50" s="1106">
        <f>40395*(3.933%+1)*(2.64386%+1)*(1.87%+1)</f>
        <v>43899.579221636952</v>
      </c>
      <c r="F50" s="836">
        <v>0</v>
      </c>
      <c r="G50" s="1101">
        <f>481*(3.933%+1)*(2.64386%+1)*(1.87%+1)</f>
        <v>522.73047668294032</v>
      </c>
      <c r="H50" s="836">
        <v>0</v>
      </c>
      <c r="I50" s="837"/>
      <c r="J50" s="994" t="s">
        <v>356</v>
      </c>
      <c r="K50" s="1110"/>
    </row>
    <row r="51" spans="1:11">
      <c r="A51" s="1367" t="s">
        <v>347</v>
      </c>
      <c r="B51" s="1367"/>
      <c r="C51" s="1102">
        <v>0</v>
      </c>
      <c r="D51" s="836">
        <v>0</v>
      </c>
      <c r="E51" s="1102">
        <v>0</v>
      </c>
      <c r="F51" s="836">
        <v>0</v>
      </c>
      <c r="G51" s="1101">
        <f>4657*(3.933%+1)*(2.64386%+1)*(1.87%+1)</f>
        <v>5061.0308314188214</v>
      </c>
      <c r="H51" s="836">
        <v>0</v>
      </c>
      <c r="I51" s="837"/>
      <c r="J51" s="994" t="s">
        <v>356</v>
      </c>
    </row>
    <row r="52" spans="1:11">
      <c r="A52" s="1367" t="s">
        <v>351</v>
      </c>
      <c r="B52" s="1367"/>
      <c r="C52" s="1102">
        <v>0</v>
      </c>
      <c r="D52" s="1102">
        <v>0</v>
      </c>
      <c r="E52" s="1100">
        <f>227880*(3.933%+1)*(2.64386%+1)*(1.87%+1)</f>
        <v>247650.35556446662</v>
      </c>
      <c r="F52" s="836">
        <v>0</v>
      </c>
      <c r="G52" s="836">
        <v>0</v>
      </c>
      <c r="H52" s="1101">
        <f>59983*(3.933%+1)*(2.64386%+1)*(1.87%+1)</f>
        <v>65186.989985182554</v>
      </c>
      <c r="I52" s="1107"/>
      <c r="J52" s="994" t="s">
        <v>356</v>
      </c>
    </row>
    <row r="53" spans="1:11">
      <c r="A53" s="1367" t="s">
        <v>359</v>
      </c>
      <c r="B53" s="1367"/>
      <c r="C53" s="1102">
        <v>0</v>
      </c>
      <c r="D53" s="1102">
        <v>0</v>
      </c>
      <c r="E53" s="1100">
        <f>3600*(3.933%+1)*(2.64386%+1)*(1.87%+1)</f>
        <v>3912.3278920136904</v>
      </c>
      <c r="F53" s="836">
        <v>0</v>
      </c>
      <c r="G53" s="836">
        <v>0</v>
      </c>
      <c r="H53" s="836">
        <v>0</v>
      </c>
      <c r="I53" s="837"/>
      <c r="J53" s="994" t="s">
        <v>356</v>
      </c>
    </row>
    <row r="54" spans="1:11">
      <c r="A54" s="1381"/>
      <c r="B54" s="1381"/>
      <c r="C54" s="1381"/>
      <c r="D54" s="1381"/>
      <c r="E54" s="1381"/>
      <c r="F54" s="1381"/>
      <c r="G54" s="1381"/>
      <c r="H54" s="1381"/>
      <c r="I54" s="1381"/>
      <c r="J54" s="1381"/>
    </row>
    <row r="55" spans="1:11">
      <c r="A55" s="1389" t="s">
        <v>389</v>
      </c>
      <c r="B55" s="1389"/>
      <c r="C55" s="1390">
        <f>[11]Chart!C30</f>
        <v>0.22309999999999999</v>
      </c>
      <c r="D55" s="1390"/>
      <c r="E55" s="1111">
        <v>0.24</v>
      </c>
      <c r="F55" s="1112"/>
      <c r="G55" s="1112"/>
      <c r="H55" s="1112"/>
      <c r="I55" s="1113"/>
      <c r="J55" s="994" t="s">
        <v>356</v>
      </c>
    </row>
    <row r="56" spans="1:11" ht="24.75" customHeight="1">
      <c r="A56" s="1391" t="s">
        <v>221</v>
      </c>
      <c r="B56" s="1392"/>
      <c r="C56" s="1393">
        <f>[11]Chart!C31</f>
        <v>3.7000000000000002E-3</v>
      </c>
      <c r="D56" s="1394"/>
      <c r="E56" s="1112"/>
      <c r="F56" s="1112"/>
      <c r="G56" s="1112"/>
      <c r="H56" s="1112"/>
      <c r="I56" s="1113"/>
      <c r="J56" s="994" t="s">
        <v>222</v>
      </c>
    </row>
    <row r="57" spans="1:11">
      <c r="A57" s="1385" t="s">
        <v>390</v>
      </c>
      <c r="B57" s="1386"/>
      <c r="C57" s="1395">
        <v>0.12</v>
      </c>
      <c r="D57" s="1395"/>
      <c r="E57" s="1114"/>
      <c r="F57" s="1114"/>
      <c r="G57" s="1114"/>
      <c r="H57" s="1115"/>
      <c r="I57" s="1116"/>
      <c r="J57" s="994" t="s">
        <v>356</v>
      </c>
    </row>
    <row r="58" spans="1:11" ht="15.75">
      <c r="A58" s="1385" t="s">
        <v>209</v>
      </c>
      <c r="B58" s="1386"/>
      <c r="C58" s="1387">
        <f>[11]Chart!C32</f>
        <v>1.78E-2</v>
      </c>
      <c r="D58" s="1388"/>
      <c r="E58" s="1117"/>
      <c r="F58" s="1117"/>
      <c r="G58" s="1117"/>
      <c r="H58" s="1118"/>
      <c r="I58" s="1119"/>
      <c r="J58" s="1210" t="s">
        <v>392</v>
      </c>
    </row>
  </sheetData>
  <mergeCells count="68">
    <mergeCell ref="A58:B58"/>
    <mergeCell ref="C58:D58"/>
    <mergeCell ref="A55:B55"/>
    <mergeCell ref="C55:D55"/>
    <mergeCell ref="A56:B56"/>
    <mergeCell ref="C56:D56"/>
    <mergeCell ref="A57:B57"/>
    <mergeCell ref="C57:D57"/>
    <mergeCell ref="A54:J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A3:AD3"/>
    <mergeCell ref="AF3:AI3"/>
    <mergeCell ref="AK3:AN3"/>
    <mergeCell ref="A4:B4"/>
    <mergeCell ref="A5:B5"/>
    <mergeCell ref="Q3:T3"/>
    <mergeCell ref="V3:Y3"/>
    <mergeCell ref="A6:B6"/>
    <mergeCell ref="A1:J1"/>
    <mergeCell ref="A2:B2"/>
    <mergeCell ref="A3:B3"/>
    <mergeCell ref="L3:O3"/>
  </mergeCells>
  <pageMargins left="0.25" right="0.25" top="0.75" bottom="0.75" header="0.3" footer="0.3"/>
  <pageSetup scale="65" orientation="landscape" r:id="rId1"/>
  <ignoredErrors>
    <ignoredError sqref="I7 T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Chart IFC &amp; Spec and Fam Res</vt:lpstr>
      <vt:lpstr>Chart  AMSS &amp; Support Services </vt:lpstr>
      <vt:lpstr>IFC-Inte &amp; Enhanced FC Rebased</vt:lpstr>
      <vt:lpstr>IFC- Child home rehab Rebased</vt:lpstr>
      <vt:lpstr>IFC-Shelter-Exploited Yth Rebas</vt:lpstr>
      <vt:lpstr>IFC- Acute-Adult Srvs -Rebased</vt:lpstr>
      <vt:lpstr>IFC- Transition to Adult Rebase</vt:lpstr>
      <vt:lpstr>IFC- Family Residential </vt:lpstr>
      <vt:lpstr>AMSS &amp; Support Model Rebased</vt:lpstr>
      <vt:lpstr>Chart</vt:lpstr>
      <vt:lpstr> Shared Living  </vt:lpstr>
      <vt:lpstr> Shared Living Add on Rates</vt:lpstr>
      <vt:lpstr>Stipend Rates</vt:lpstr>
      <vt:lpstr>CAF Fall 2019</vt:lpstr>
      <vt:lpstr>' Shared Living  '!Print_Area</vt:lpstr>
      <vt:lpstr>' Shared Living Add on Rates'!Print_Area</vt:lpstr>
      <vt:lpstr>'AMSS &amp; Support Model Rebased'!Print_Area</vt:lpstr>
      <vt:lpstr>Chart!Print_Area</vt:lpstr>
      <vt:lpstr>'Chart  AMSS &amp; Support Services '!Print_Area</vt:lpstr>
      <vt:lpstr>'Chart IFC &amp; Spec and Fam Res'!Print_Area</vt:lpstr>
      <vt:lpstr>'IFC- Acute-Adult Srvs -Rebased'!Print_Area</vt:lpstr>
      <vt:lpstr>'IFC- Child home rehab Rebased'!Print_Area</vt:lpstr>
      <vt:lpstr>'IFC- Family Residential '!Print_Area</vt:lpstr>
      <vt:lpstr>'IFC- Transition to Adult Rebase'!Print_Area</vt:lpstr>
      <vt:lpstr>'IFC-Inte &amp; Enhanced FC Rebased'!Print_Area</vt:lpstr>
      <vt:lpstr>'IFC-Shelter-Exploited Yth Rebas'!Print_Area</vt:lpstr>
      <vt:lpstr>'Stipend Rates'!Print_Area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Stanford</dc:creator>
  <cp:lastModifiedBy>Kara Stanford</cp:lastModifiedBy>
  <dcterms:created xsi:type="dcterms:W3CDTF">2020-03-30T12:04:34Z</dcterms:created>
  <dcterms:modified xsi:type="dcterms:W3CDTF">2020-03-30T15:47:52Z</dcterms:modified>
</cp:coreProperties>
</file>