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X:\Administrative Services-POS Policy Office\Rate Setting\Rate Projects\CMR 412_Family Trans Support\Rate Review FY25\3. Signoff\"/>
    </mc:Choice>
  </mc:AlternateContent>
  <xr:revisionPtr revIDLastSave="0" documentId="8_{B8B92820-E3F1-442F-A951-3A9DC069918E}" xr6:coauthVersionLast="47" xr6:coauthVersionMax="47" xr10:uidLastSave="{00000000-0000-0000-0000-000000000000}"/>
  <bookViews>
    <workbookView xWindow="-120" yWindow="-120" windowWidth="29040" windowHeight="15840" tabRatio="756" firstSheet="2" activeTab="6" xr2:uid="{00000000-000D-0000-FFFF-FFFF00000000}"/>
  </bookViews>
  <sheets>
    <sheet name="M2020 BLS  SALARY CHART" sheetId="7" state="hidden" r:id="rId1"/>
    <sheet name="Fall CAF 2021" sheetId="8" state="hidden" r:id="rId2"/>
    <sheet name="Fall CAF 2023" sheetId="13" r:id="rId3"/>
    <sheet name="M2022 BLS SALARY CHART (53_PCT)" sheetId="12" r:id="rId4"/>
    <sheet name="4624-Emergency Shelters" sheetId="3" r:id="rId5"/>
    <sheet name="4625 - Residential Housing Stab" sheetId="4" r:id="rId6"/>
    <sheet name="4626-DVSMT Shelters" sheetId="5" r:id="rId7"/>
    <sheet name="FY20 UFR Data" sheetId="15" state="hidden" r:id="rId8"/>
    <sheet name="FY22 UFR Data" sheetId="10" state="hidden" r:id="rId9"/>
    <sheet name="Direct Care  Add On" sheetId="2" r:id="rId10"/>
    <sheet name="Sheet1" sheetId="11"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Key1" hidden="1">#REF!</definedName>
    <definedName name="_Sort" hidden="1">#REF!</definedName>
    <definedName name="alldata" localSheetId="1">#REF!</definedName>
    <definedName name="alldata" localSheetId="2">#REF!</definedName>
    <definedName name="alldata" localSheetId="7">#REF!</definedName>
    <definedName name="alldata" localSheetId="3">#REF!</definedName>
    <definedName name="alldata">#REF!</definedName>
    <definedName name="alled" localSheetId="1">#REF!</definedName>
    <definedName name="alled" localSheetId="2">#REF!</definedName>
    <definedName name="alled" localSheetId="3">#REF!</definedName>
    <definedName name="alled">#REF!</definedName>
    <definedName name="allstem" localSheetId="1">#REF!</definedName>
    <definedName name="allstem" localSheetId="2">#REF!</definedName>
    <definedName name="allstem" localSheetId="3">#REF!</definedName>
    <definedName name="allstem">#REF!</definedName>
    <definedName name="Area">[1]Sheet2!$A$2:$A$28</definedName>
    <definedName name="ARENEW">[2]amendA!$B$1:$U$51</definedName>
    <definedName name="asdfasd" localSheetId="3">'[3]Complete UFR List'!#REF!</definedName>
    <definedName name="asdfasd">'[3]Complete UFR List'!#REF!</definedName>
    <definedName name="asdfasdf" localSheetId="2">#REF!</definedName>
    <definedName name="asdfasdf" localSheetId="7">#REF!</definedName>
    <definedName name="asdfasdf" localSheetId="3">#REF!</definedName>
    <definedName name="asdfasdf">#REF!</definedName>
    <definedName name="ATTABOY">[2]amendA!$B$2:$S$2</definedName>
    <definedName name="AutoInsurance">[4]Universal!$C$19</definedName>
    <definedName name="autsupp2" localSheetId="3">#REF!</definedName>
    <definedName name="autsupp2">#REF!</definedName>
    <definedName name="Average" localSheetId="2">#REF!</definedName>
    <definedName name="Average" localSheetId="3">#REF!</definedName>
    <definedName name="Average">#REF!</definedName>
    <definedName name="BB6_4">#REF!</definedName>
    <definedName name="CAF_NEW">[5]RawDataCalcs!$L$70:$DB$70</definedName>
    <definedName name="Cap" localSheetId="2">[6]RawDataCalcs!$L$13:$DB$13</definedName>
    <definedName name="Cap" localSheetId="0">[7]RawDataCalcs!$L$35:$DB$35</definedName>
    <definedName name="Cap" localSheetId="3">[7]RawDataCalcs!$L$35:$DB$35</definedName>
    <definedName name="Cap">[8]RawDataCalcs!$L$70:$DB$70</definedName>
    <definedName name="capa">[9]RawDataCalcs!$L$17:$DB$17</definedName>
    <definedName name="COLA">[4]Universal!$C$12</definedName>
    <definedName name="Data" localSheetId="2">#REF!</definedName>
    <definedName name="Data" localSheetId="7">#REF!</definedName>
    <definedName name="Data" localSheetId="3">#REF!</definedName>
    <definedName name="Data">#REF!</definedName>
    <definedName name="Electricity">[4]Universal!$C$21</definedName>
    <definedName name="Fisc" localSheetId="3">'[3]Complete UFR List'!#REF!</definedName>
    <definedName name="Fisc">'[3]Complete UFR List'!#REF!</definedName>
    <definedName name="FiveDay">[4]Universal!$C$17</definedName>
    <definedName name="Floor" localSheetId="2">[6]RawDataCalcs!$L$12:$DB$12</definedName>
    <definedName name="Floor" localSheetId="0">[7]RawDataCalcs!$L$34:$DB$34</definedName>
    <definedName name="Floor" localSheetId="3">[7]RawDataCalcs!$L$34:$DB$34</definedName>
    <definedName name="Floor">[8]RawDataCalcs!$L$69:$DB$69</definedName>
    <definedName name="Fringe">[4]Universal!$C$8</definedName>
    <definedName name="FROM">[2]amendA!$G$7</definedName>
    <definedName name="Funds">'[10]RawDataCalcs3386&amp;3401'!$L$68:$DB$68</definedName>
    <definedName name="GA">[4]Universal!$C$13</definedName>
    <definedName name="Gas">[4]Universal!$C$22</definedName>
    <definedName name="gk" localSheetId="4">#REF!</definedName>
    <definedName name="gk" localSheetId="9">#REF!</definedName>
    <definedName name="gk" localSheetId="1">#REF!</definedName>
    <definedName name="gk" localSheetId="2">#REF!</definedName>
    <definedName name="gk" localSheetId="3">#REF!</definedName>
    <definedName name="gk">#REF!</definedName>
    <definedName name="hhh" localSheetId="2">#REF!</definedName>
    <definedName name="hhh" localSheetId="3">#REF!</definedName>
    <definedName name="hhh">#REF!</definedName>
    <definedName name="Holidays">[4]Universal!$C$49:$C$59</definedName>
    <definedName name="JailDAverage" localSheetId="2">#REF!</definedName>
    <definedName name="JailDAverage" localSheetId="7">#REF!</definedName>
    <definedName name="JailDAverage" localSheetId="3">#REF!</definedName>
    <definedName name="JailDAverage">#REF!</definedName>
    <definedName name="JailDCap">[11]ALLRawDataCalcs!$L$80:$DB$80</definedName>
    <definedName name="JailDFloor">[11]ALLRawDataCalcs!$L$79:$DB$79</definedName>
    <definedName name="JailDgk" localSheetId="2">#REF!</definedName>
    <definedName name="JailDgk" localSheetId="7">#REF!</definedName>
    <definedName name="JailDgk" localSheetId="3">#REF!</definedName>
    <definedName name="JailDgk">#REF!</definedName>
    <definedName name="JailDMax" localSheetId="2">#REF!</definedName>
    <definedName name="JailDMax" localSheetId="7">#REF!</definedName>
    <definedName name="JailDMax" localSheetId="3">#REF!</definedName>
    <definedName name="JailDMax">#REF!</definedName>
    <definedName name="JailDMedian" localSheetId="2">#REF!</definedName>
    <definedName name="JailDMedian" localSheetId="7">#REF!</definedName>
    <definedName name="JailDMedian" localSheetId="3">#REF!</definedName>
    <definedName name="JailDMedian">#REF!</definedName>
    <definedName name="jm" localSheetId="3">'[3]Complete UFR List'!#REF!</definedName>
    <definedName name="jm">'[3]Complete UFR List'!#REF!</definedName>
    <definedName name="kls" localSheetId="2">#REF!</definedName>
    <definedName name="kls" localSheetId="7">#REF!</definedName>
    <definedName name="kls" localSheetId="3">#REF!</definedName>
    <definedName name="kls">#REF!</definedName>
    <definedName name="ListProviders">'[12]List of Programs'!$A$24:$A$29</definedName>
    <definedName name="Max" localSheetId="2">#REF!</definedName>
    <definedName name="Max" localSheetId="7">#REF!</definedName>
    <definedName name="Max" localSheetId="3">#REF!</definedName>
    <definedName name="Max">#REF!</definedName>
    <definedName name="Median" localSheetId="2">#REF!</definedName>
    <definedName name="Median" localSheetId="7">#REF!</definedName>
    <definedName name="Median" localSheetId="3">#REF!</definedName>
    <definedName name="Median">#REF!</definedName>
    <definedName name="Min" localSheetId="2">#REF!</definedName>
    <definedName name="Min" localSheetId="7">#REF!</definedName>
    <definedName name="Min" localSheetId="3">#REF!</definedName>
    <definedName name="Min">#REF!</definedName>
    <definedName name="mr">#REF!</definedName>
    <definedName name="MT" localSheetId="2">#REF!</definedName>
    <definedName name="MT" localSheetId="3">#REF!</definedName>
    <definedName name="MT">#REF!</definedName>
    <definedName name="new" localSheetId="2">#REF!</definedName>
    <definedName name="new" localSheetId="3">#REF!</definedName>
    <definedName name="new">#REF!</definedName>
    <definedName name="Oil">[4]Universal!$C$23</definedName>
    <definedName name="ok" localSheetId="4">#REF!</definedName>
    <definedName name="ok" localSheetId="2">#REF!</definedName>
    <definedName name="ok" localSheetId="3">#REF!</definedName>
    <definedName name="ok">#REF!</definedName>
    <definedName name="Paydays">[4]Universal!$C$33:$N$33</definedName>
    <definedName name="Phone">[4]Universal!$C$25</definedName>
    <definedName name="_xlnm.Print_Area" localSheetId="4">'4624-Emergency Shelters'!$E$2:$O$36</definedName>
    <definedName name="_xlnm.Print_Area" localSheetId="5">'4625 - Residential Housing Stab'!$D$2:$U$35</definedName>
    <definedName name="_xlnm.Print_Area" localSheetId="6">'4626-DVSMT Shelters'!$E$2:$P$39</definedName>
    <definedName name="_xlnm.Print_Area" localSheetId="9">'Direct Care  Add On'!$B$1:$I$16</definedName>
    <definedName name="_xlnm.Print_Area" localSheetId="0">'M2020 BLS  SALARY CHART'!$B$1:$G$44</definedName>
    <definedName name="_xlnm.Print_Area" localSheetId="3">'M2022 BLS SALARY CHART (53_PCT)'!$B$1:$E$46</definedName>
    <definedName name="_xlnm.Print_Titles" localSheetId="1">'Fall CAF 2021'!$A:$A</definedName>
    <definedName name="_xlnm.Print_Titles" localSheetId="2">'Fall CAF 2023'!$A:$A</definedName>
    <definedName name="Program_File" localSheetId="2">#REF!</definedName>
    <definedName name="Program_File" localSheetId="7">#REF!</definedName>
    <definedName name="Program_File" localSheetId="3">#REF!</definedName>
    <definedName name="Program_File">#REF!</definedName>
    <definedName name="Programs">'[12]List of Programs'!$B$3:$B$19</definedName>
    <definedName name="PropInsurance">[4]Universal!$C$20</definedName>
    <definedName name="ProvFTE" localSheetId="2">'[13]FTE Data'!$A$3:$AW$56</definedName>
    <definedName name="ProvFTE" localSheetId="3">'[13]FTE Data'!$A$3:$AW$56</definedName>
    <definedName name="ProvFTE">'[14]FTE Data'!$A$3:$AW$56</definedName>
    <definedName name="PTO_Hours">[4]Universal!$F$72:$F$78</definedName>
    <definedName name="PTO_Years">[4]Universal!$B$72:$B$78</definedName>
    <definedName name="PurchasedBy" localSheetId="2">'[13]FTE Data'!$C$263:$AZ$657</definedName>
    <definedName name="PurchasedBy" localSheetId="3">'[13]FTE Data'!$C$263:$AZ$657</definedName>
    <definedName name="PurchasedBy">'[14]FTE Data'!$C$263:$AZ$657</definedName>
    <definedName name="REGION">[1]Sheet2!$B$1:$B$5</definedName>
    <definedName name="Relief">[4]Universal!$C$14</definedName>
    <definedName name="resmay2007" localSheetId="2">#REF!</definedName>
    <definedName name="resmay2007" localSheetId="7">#REF!</definedName>
    <definedName name="resmay2007" localSheetId="3">#REF!</definedName>
    <definedName name="resmay2007">#REF!</definedName>
    <definedName name="SevenDay">[4]Universal!$C$18</definedName>
    <definedName name="sheet1" localSheetId="1">#REF!</definedName>
    <definedName name="sheet1" localSheetId="2">#REF!</definedName>
    <definedName name="sheet1" localSheetId="7">#REF!</definedName>
    <definedName name="sheet1" localSheetId="3">#REF!</definedName>
    <definedName name="sheet1">#REF!</definedName>
    <definedName name="Site_list" localSheetId="2">[13]Lists!$A$2:$A$53</definedName>
    <definedName name="Site_list" localSheetId="3">[13]Lists!$A$2:$A$53</definedName>
    <definedName name="Site_list">[14]Lists!$A$2:$A$53</definedName>
    <definedName name="Source" localSheetId="2">#REF!</definedName>
    <definedName name="Source" localSheetId="7">#REF!</definedName>
    <definedName name="Source" localSheetId="3">#REF!</definedName>
    <definedName name="Source">#REF!</definedName>
    <definedName name="Source_2" localSheetId="4">#REF!</definedName>
    <definedName name="Source_2" localSheetId="1">#REF!</definedName>
    <definedName name="Source_2" localSheetId="2">#REF!</definedName>
    <definedName name="Source_2" localSheetId="3">#REF!</definedName>
    <definedName name="Source_2">#REF!</definedName>
    <definedName name="SourcePathAndFileName" localSheetId="2">#REF!</definedName>
    <definedName name="SourcePathAndFileName" localSheetId="3">#REF!</definedName>
    <definedName name="SourcePathAndFileName">#REF!</definedName>
    <definedName name="StaffApp">[4]Universal!$C$11</definedName>
    <definedName name="Tax">[4]Universal!$C$7</definedName>
    <definedName name="TO">[2]amendA!$K$7:$O$7</definedName>
    <definedName name="Total_UFR" localSheetId="2">#REF!</definedName>
    <definedName name="Total_UFR" localSheetId="7">#REF!</definedName>
    <definedName name="Total_UFR" localSheetId="3">#REF!</definedName>
    <definedName name="Total_UFR">#REF!</definedName>
    <definedName name="Total_UFRs" localSheetId="2">#REF!</definedName>
    <definedName name="Total_UFRs" localSheetId="3">#REF!</definedName>
    <definedName name="Total_UFRs">#REF!</definedName>
    <definedName name="Total_UFRs_" localSheetId="2">#REF!</definedName>
    <definedName name="Total_UFRs_" localSheetId="3">#REF!</definedName>
    <definedName name="Total_UFRs_">#REF!</definedName>
    <definedName name="TotalDays">[4]Universal!$C$30:$N$30</definedName>
    <definedName name="UFR" localSheetId="7">'[3]Complete UFR List'!#REF!</definedName>
    <definedName name="UFR" localSheetId="3">'[3]Complete UFR List'!#REF!</definedName>
    <definedName name="UFR">'[3]Complete UFR List'!#REF!</definedName>
    <definedName name="UFRS" localSheetId="7">'[3]Complete UFR List'!#REF!</definedName>
    <definedName name="UFRS" localSheetId="3">'[3]Complete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3">'[3]Complete UFR List'!#REF!</definedName>
    <definedName name="wefqwerqwe">'[3]Complete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T31" i="15"/>
  <c r="Q31" i="15"/>
  <c r="N31" i="15"/>
  <c r="T30" i="15"/>
  <c r="R30" i="15"/>
  <c r="Q30" i="15"/>
  <c r="N30" i="15"/>
  <c r="T29" i="15"/>
  <c r="Q29" i="15"/>
  <c r="N29" i="15"/>
  <c r="P31" i="10" l="1"/>
  <c r="P30" i="10" l="1"/>
  <c r="P29" i="10"/>
  <c r="F29" i="10" l="1"/>
  <c r="B29" i="10"/>
  <c r="M30" i="10"/>
  <c r="L30" i="10"/>
  <c r="K30" i="10"/>
  <c r="J30" i="10"/>
  <c r="I30" i="10"/>
  <c r="H30" i="10"/>
  <c r="G30" i="10"/>
  <c r="F30" i="10"/>
  <c r="E30" i="10"/>
  <c r="D30" i="10"/>
  <c r="C30" i="10"/>
  <c r="B30" i="10"/>
  <c r="M29" i="10" l="1"/>
  <c r="L29" i="10"/>
  <c r="K29" i="10"/>
  <c r="J29" i="10"/>
  <c r="I29" i="10"/>
  <c r="H29" i="10"/>
  <c r="G29" i="10"/>
  <c r="E29" i="10"/>
  <c r="D29" i="10"/>
  <c r="C29" i="10"/>
  <c r="H8" i="2" l="1"/>
  <c r="H6" i="2"/>
  <c r="H5" i="2"/>
  <c r="C17" i="5"/>
  <c r="C15" i="5"/>
  <c r="C10" i="5"/>
  <c r="C8" i="5"/>
  <c r="C7" i="5"/>
  <c r="C5" i="5"/>
  <c r="C4" i="5"/>
  <c r="C17" i="4" l="1"/>
  <c r="C9" i="4"/>
  <c r="C6" i="4"/>
  <c r="C5" i="4"/>
  <c r="C4" i="4"/>
  <c r="C16" i="3" l="1"/>
  <c r="C9" i="3"/>
  <c r="C6" i="3"/>
  <c r="CR26" i="13"/>
  <c r="CR28" i="13" s="1"/>
  <c r="CP26" i="13"/>
  <c r="CO26" i="13"/>
  <c r="CN26" i="13"/>
  <c r="CM26" i="13"/>
  <c r="CL26" i="13"/>
  <c r="CK26" i="13"/>
  <c r="CJ26" i="13"/>
  <c r="CI26" i="13"/>
  <c r="CP25" i="13"/>
  <c r="CO25" i="13"/>
  <c r="CN25" i="13"/>
  <c r="CM25" i="13"/>
  <c r="CL25" i="13"/>
  <c r="CK25" i="13"/>
  <c r="CJ25" i="13"/>
  <c r="CI25" i="13"/>
  <c r="CR22" i="13"/>
  <c r="CI22" i="13"/>
  <c r="C52" i="12"/>
  <c r="C51" i="12"/>
  <c r="C50" i="12"/>
  <c r="C46" i="12"/>
  <c r="C38" i="12"/>
  <c r="C36" i="12"/>
  <c r="C33" i="12"/>
  <c r="C34" i="12" s="1"/>
  <c r="C31" i="12"/>
  <c r="C32" i="12" s="1"/>
  <c r="C29" i="12"/>
  <c r="C30" i="12" s="1"/>
  <c r="C27" i="12"/>
  <c r="C28" i="12" s="1"/>
  <c r="C25" i="12"/>
  <c r="C26" i="12" s="1"/>
  <c r="C23" i="12"/>
  <c r="C24" i="12" s="1"/>
  <c r="C21" i="12"/>
  <c r="C22" i="12" s="1"/>
  <c r="C19" i="12"/>
  <c r="C20" i="12" s="1"/>
  <c r="C18" i="12"/>
  <c r="C17" i="12"/>
  <c r="C15" i="12"/>
  <c r="C16" i="12" s="1"/>
  <c r="C13" i="12"/>
  <c r="C14" i="12" s="1"/>
  <c r="C11" i="12"/>
  <c r="C12" i="12" s="1"/>
  <c r="C4" i="3" s="1"/>
  <c r="C7" i="12"/>
  <c r="C8" i="12" s="1"/>
  <c r="C6" i="12"/>
  <c r="C49" i="12" l="1"/>
  <c r="C5" i="3"/>
  <c r="C48" i="12"/>
  <c r="C47" i="12"/>
  <c r="E20" i="4" l="1"/>
  <c r="K20" i="4" s="1"/>
  <c r="Q20" i="4" s="1"/>
  <c r="K17" i="3"/>
  <c r="O17" i="3"/>
  <c r="I20" i="4"/>
  <c r="O20" i="4"/>
  <c r="U20" i="4"/>
  <c r="J20" i="5"/>
  <c r="F20" i="5" l="1"/>
  <c r="N6" i="3" l="1"/>
  <c r="T19" i="4" l="1"/>
  <c r="A4" i="4"/>
  <c r="A5" i="5" s="1"/>
  <c r="G25" i="3" l="1"/>
  <c r="Q19" i="4" l="1"/>
  <c r="E7" i="11"/>
  <c r="G7" i="11" s="1"/>
  <c r="D9" i="11"/>
  <c r="E9" i="11" s="1"/>
  <c r="G9" i="11" s="1"/>
  <c r="D8" i="11"/>
  <c r="D10" i="11" l="1"/>
  <c r="E8" i="11"/>
  <c r="G8" i="11" s="1"/>
  <c r="G10" i="11" s="1"/>
  <c r="U19" i="4" s="1"/>
  <c r="B6" i="2"/>
  <c r="A14" i="5"/>
  <c r="F18" i="5" s="1"/>
  <c r="A11" i="5"/>
  <c r="F17" i="5" s="1"/>
  <c r="F7" i="5"/>
  <c r="B7" i="11" s="1"/>
  <c r="T31" i="10"/>
  <c r="C13" i="5" s="1"/>
  <c r="I19" i="5" s="1"/>
  <c r="J19" i="5" s="1"/>
  <c r="T30" i="10"/>
  <c r="C13" i="4" s="1"/>
  <c r="H17" i="4" s="1"/>
  <c r="I17" i="4" s="1"/>
  <c r="T29" i="10"/>
  <c r="C12" i="3" s="1"/>
  <c r="Q31" i="10"/>
  <c r="C11" i="5" s="1"/>
  <c r="Q30" i="10"/>
  <c r="C10" i="4" s="1"/>
  <c r="Q29" i="10"/>
  <c r="C10" i="3" s="1"/>
  <c r="C11" i="3" s="1"/>
  <c r="N31" i="10"/>
  <c r="C14" i="5" s="1"/>
  <c r="N30" i="10"/>
  <c r="C14" i="4" s="1"/>
  <c r="N18" i="4" s="1"/>
  <c r="T18" i="4" s="1"/>
  <c r="N29" i="10"/>
  <c r="C13" i="3" s="1"/>
  <c r="E19" i="4"/>
  <c r="A13" i="4"/>
  <c r="E17" i="4" s="1"/>
  <c r="K17" i="4" s="1"/>
  <c r="Q17" i="4" s="1"/>
  <c r="R30" i="10"/>
  <c r="H11" i="4"/>
  <c r="A7" i="3"/>
  <c r="A11" i="4"/>
  <c r="K19" i="4" s="1"/>
  <c r="E16" i="3"/>
  <c r="E15" i="3"/>
  <c r="E14" i="3"/>
  <c r="E10" i="11" l="1"/>
  <c r="E13" i="3"/>
  <c r="K13" i="3"/>
  <c r="F15" i="5"/>
  <c r="H19" i="4"/>
  <c r="I19" i="4" s="1"/>
  <c r="A13" i="5"/>
  <c r="F19" i="5" s="1"/>
  <c r="N17" i="4"/>
  <c r="O17" i="4" l="1"/>
  <c r="T17" i="4"/>
  <c r="U17" i="4" s="1"/>
  <c r="C23" i="4"/>
  <c r="C22" i="4"/>
  <c r="C21" i="4"/>
  <c r="C20" i="4"/>
  <c r="C15" i="4"/>
  <c r="G25" i="4" s="1"/>
  <c r="C11" i="4"/>
  <c r="N19" i="4" s="1"/>
  <c r="E7" i="4"/>
  <c r="C24" i="4" l="1"/>
  <c r="C25" i="4" s="1"/>
  <c r="E6" i="3" l="1"/>
  <c r="H18" i="4" l="1"/>
  <c r="E18" i="4"/>
  <c r="E9" i="4"/>
  <c r="K9" i="4" s="1"/>
  <c r="Q9" i="4" s="1"/>
  <c r="E8" i="4"/>
  <c r="K8" i="4" s="1"/>
  <c r="Q8" i="4" s="1"/>
  <c r="K7" i="4"/>
  <c r="Q7" i="4" s="1"/>
  <c r="M25" i="4"/>
  <c r="S25" i="4" s="1"/>
  <c r="U18" i="4"/>
  <c r="U21" i="4" s="1"/>
  <c r="G13" i="4"/>
  <c r="M25" i="3"/>
  <c r="K15" i="3"/>
  <c r="K16" i="3"/>
  <c r="K14" i="3"/>
  <c r="N7" i="3"/>
  <c r="N8" i="3"/>
  <c r="K7" i="3"/>
  <c r="K8" i="3"/>
  <c r="K6" i="3"/>
  <c r="N14" i="3"/>
  <c r="H14" i="3"/>
  <c r="K18" i="4" l="1"/>
  <c r="Q18" i="4" s="1"/>
  <c r="I18" i="4"/>
  <c r="I21" i="4" s="1"/>
  <c r="M13" i="4"/>
  <c r="S13" i="4"/>
  <c r="H15" i="3" l="1"/>
  <c r="N15" i="3" s="1"/>
  <c r="H16" i="3"/>
  <c r="E22" i="3"/>
  <c r="K22" i="3" s="1"/>
  <c r="N16" i="3" l="1"/>
  <c r="C22" i="3"/>
  <c r="C21" i="3"/>
  <c r="C20" i="3"/>
  <c r="C19" i="3"/>
  <c r="C14" i="3"/>
  <c r="G10" i="3"/>
  <c r="M10" i="3" s="1"/>
  <c r="H12" i="5"/>
  <c r="I18" i="5"/>
  <c r="C12" i="5"/>
  <c r="J16" i="5" s="1"/>
  <c r="F10" i="5"/>
  <c r="F9" i="5"/>
  <c r="F8" i="5"/>
  <c r="F6" i="5"/>
  <c r="G20" i="3" l="1"/>
  <c r="M20" i="3"/>
  <c r="C23" i="3"/>
  <c r="C24" i="3" s="1"/>
  <c r="CB22" i="8"/>
  <c r="CA22" i="8"/>
  <c r="BZ22" i="8"/>
  <c r="BY22" i="8"/>
  <c r="BX22" i="8"/>
  <c r="BW22" i="8"/>
  <c r="BV22" i="8"/>
  <c r="BU22" i="8"/>
  <c r="CB21" i="8"/>
  <c r="CA21" i="8"/>
  <c r="BZ21" i="8"/>
  <c r="BY21" i="8"/>
  <c r="BX21" i="8"/>
  <c r="BW21" i="8"/>
  <c r="BV21" i="8"/>
  <c r="BU21" i="8"/>
  <c r="CB20" i="8"/>
  <c r="CA20" i="8"/>
  <c r="BZ20" i="8"/>
  <c r="BY20" i="8"/>
  <c r="BX20" i="8"/>
  <c r="BW20" i="8"/>
  <c r="BV20" i="8"/>
  <c r="BU20" i="8"/>
  <c r="BU17" i="8"/>
  <c r="CD17" i="8" s="1"/>
  <c r="BU15" i="8"/>
  <c r="CD22" i="8" l="1"/>
  <c r="H9" i="3"/>
  <c r="CD24" i="8"/>
  <c r="C6" i="2" l="1"/>
  <c r="G27" i="4"/>
  <c r="H25" i="5"/>
  <c r="N10" i="5"/>
  <c r="G22" i="3" l="1"/>
  <c r="M22" i="3"/>
  <c r="M27" i="4"/>
  <c r="S27" i="4"/>
  <c r="N14" i="5"/>
  <c r="C38" i="7" l="1"/>
  <c r="D34" i="7"/>
  <c r="H33" i="7"/>
  <c r="C33" i="7"/>
  <c r="C34" i="7" s="1"/>
  <c r="E34" i="7" s="1"/>
  <c r="D32" i="7"/>
  <c r="H31" i="7"/>
  <c r="C31" i="7"/>
  <c r="C32" i="7" s="1"/>
  <c r="E32" i="7" s="1"/>
  <c r="H29" i="7"/>
  <c r="C29" i="7"/>
  <c r="C30" i="7" s="1"/>
  <c r="D28" i="7"/>
  <c r="H27" i="7"/>
  <c r="C27" i="7"/>
  <c r="C28" i="7" s="1"/>
  <c r="E28" i="7" s="1"/>
  <c r="C25" i="7"/>
  <c r="C26" i="7" s="1"/>
  <c r="C23" i="7"/>
  <c r="C24" i="7" s="1"/>
  <c r="C22" i="7"/>
  <c r="C21" i="7"/>
  <c r="C19" i="7"/>
  <c r="C20" i="7" s="1"/>
  <c r="D18" i="7"/>
  <c r="H17" i="7"/>
  <c r="C17" i="7"/>
  <c r="C18" i="7" s="1"/>
  <c r="D16" i="7"/>
  <c r="C15" i="7"/>
  <c r="C16" i="7" s="1"/>
  <c r="E16" i="7" s="1"/>
  <c r="D14" i="7"/>
  <c r="H13" i="7"/>
  <c r="C13" i="7"/>
  <c r="C14" i="7" s="1"/>
  <c r="D12" i="7"/>
  <c r="C11" i="7"/>
  <c r="C12" i="7" s="1"/>
  <c r="E12" i="7" s="1"/>
  <c r="D10" i="7"/>
  <c r="H9" i="7"/>
  <c r="C9" i="7"/>
  <c r="C10" i="7" s="1"/>
  <c r="E10" i="7" s="1"/>
  <c r="D8" i="7"/>
  <c r="H7" i="7"/>
  <c r="C7" i="7"/>
  <c r="C8" i="7" s="1"/>
  <c r="D6" i="7"/>
  <c r="H5" i="7"/>
  <c r="C5" i="7"/>
  <c r="C6" i="7" s="1"/>
  <c r="E18" i="7" l="1"/>
  <c r="H6" i="5"/>
  <c r="E8" i="7"/>
  <c r="G8" i="4"/>
  <c r="M8" i="4" s="1"/>
  <c r="S8" i="4" s="1"/>
  <c r="H9" i="5"/>
  <c r="G7" i="3"/>
  <c r="H10" i="5"/>
  <c r="E14" i="7"/>
  <c r="C6" i="5"/>
  <c r="E6" i="7"/>
  <c r="C36" i="7"/>
  <c r="J5" i="7"/>
  <c r="J17" i="7"/>
  <c r="J27" i="7"/>
  <c r="J29" i="7"/>
  <c r="J31" i="7"/>
  <c r="J33" i="7"/>
  <c r="J7" i="7"/>
  <c r="J9" i="7"/>
  <c r="J13" i="7"/>
  <c r="G7" i="4" l="1"/>
  <c r="M7" i="4" s="1"/>
  <c r="S7" i="4" s="1"/>
  <c r="G6" i="3"/>
  <c r="M6" i="3" s="1"/>
  <c r="G8" i="3"/>
  <c r="C7" i="3"/>
  <c r="I13" i="3" s="1"/>
  <c r="C7" i="4"/>
  <c r="G9" i="4"/>
  <c r="M9" i="4" s="1"/>
  <c r="S9" i="4" s="1"/>
  <c r="M7" i="3"/>
  <c r="I7" i="3"/>
  <c r="H8" i="5"/>
  <c r="J8" i="5" s="1"/>
  <c r="N6" i="5"/>
  <c r="H7" i="5"/>
  <c r="J7" i="5" s="1"/>
  <c r="O6" i="3"/>
  <c r="C23" i="5"/>
  <c r="C22" i="5"/>
  <c r="C21" i="5"/>
  <c r="C20" i="5"/>
  <c r="H28" i="5"/>
  <c r="N34" i="5" s="1"/>
  <c r="J18" i="5"/>
  <c r="N28" i="5"/>
  <c r="H23" i="5"/>
  <c r="O23" i="5"/>
  <c r="L23" i="5"/>
  <c r="L22" i="5"/>
  <c r="O21" i="5"/>
  <c r="P21" i="5" s="1"/>
  <c r="O20" i="5"/>
  <c r="P20" i="5" s="1"/>
  <c r="P19" i="5"/>
  <c r="L19" i="5"/>
  <c r="P10" i="5"/>
  <c r="L10" i="5"/>
  <c r="L7" i="5"/>
  <c r="O19" i="4"/>
  <c r="O18" i="4"/>
  <c r="T11" i="4"/>
  <c r="N11" i="4"/>
  <c r="O14" i="3"/>
  <c r="O15" i="3"/>
  <c r="I3" i="3"/>
  <c r="G7" i="2"/>
  <c r="C5" i="2"/>
  <c r="G6" i="2"/>
  <c r="C7" i="2"/>
  <c r="D4" i="2"/>
  <c r="G5" i="2"/>
  <c r="I15" i="3" l="1"/>
  <c r="I17" i="3"/>
  <c r="O21" i="4"/>
  <c r="O13" i="3"/>
  <c r="M8" i="3"/>
  <c r="D5" i="2"/>
  <c r="D7" i="2" s="1"/>
  <c r="I14" i="3"/>
  <c r="I16" i="3"/>
  <c r="O16" i="3" s="1"/>
  <c r="O7" i="3"/>
  <c r="I17" i="5"/>
  <c r="J17" i="5" s="1"/>
  <c r="C24" i="5"/>
  <c r="C25" i="5" s="1"/>
  <c r="I6" i="3"/>
  <c r="I8" i="3"/>
  <c r="U9" i="4"/>
  <c r="O9" i="4"/>
  <c r="I9" i="4"/>
  <c r="U7" i="4"/>
  <c r="O18" i="3" l="1"/>
  <c r="I18" i="3"/>
  <c r="O9" i="5"/>
  <c r="O12" i="5" s="1"/>
  <c r="J15" i="5"/>
  <c r="J21" i="5" s="1"/>
  <c r="D6" i="2"/>
  <c r="D8" i="2" s="1"/>
  <c r="D10" i="2" s="1"/>
  <c r="I11" i="5"/>
  <c r="I9" i="3"/>
  <c r="N7" i="5"/>
  <c r="P7" i="5" s="1"/>
  <c r="J9" i="5"/>
  <c r="N9" i="5"/>
  <c r="O8" i="4"/>
  <c r="U8" i="4"/>
  <c r="I8" i="4"/>
  <c r="N8" i="5"/>
  <c r="P8" i="5" s="1"/>
  <c r="J10" i="5"/>
  <c r="O8" i="3"/>
  <c r="O9" i="3" s="1"/>
  <c r="O22" i="5"/>
  <c r="I7" i="4"/>
  <c r="O7" i="4"/>
  <c r="P6" i="5"/>
  <c r="J6" i="5"/>
  <c r="P22" i="5" l="1"/>
  <c r="O11" i="4"/>
  <c r="O13" i="4" s="1"/>
  <c r="O14" i="4" s="1"/>
  <c r="P9" i="5"/>
  <c r="U11" i="4"/>
  <c r="U13" i="4" s="1"/>
  <c r="U14" i="4" s="1"/>
  <c r="U23" i="4" s="1"/>
  <c r="U27" i="4" s="1"/>
  <c r="I11" i="4"/>
  <c r="I13" i="4" s="1"/>
  <c r="I14" i="4" s="1"/>
  <c r="I23" i="4" s="1"/>
  <c r="J11" i="5"/>
  <c r="P12" i="5"/>
  <c r="P23" i="5" s="1"/>
  <c r="P24" i="5" s="1"/>
  <c r="O10" i="3"/>
  <c r="O11" i="3" s="1"/>
  <c r="N9" i="3"/>
  <c r="I10" i="3"/>
  <c r="I11" i="3" s="1"/>
  <c r="I25" i="4" l="1"/>
  <c r="I26" i="4" s="1"/>
  <c r="I28" i="4" s="1"/>
  <c r="I29" i="4" s="1"/>
  <c r="I27" i="4"/>
  <c r="U25" i="4"/>
  <c r="J12" i="5"/>
  <c r="J13" i="5" s="1"/>
  <c r="O19" i="3"/>
  <c r="O20" i="3" s="1"/>
  <c r="P14" i="5"/>
  <c r="P15" i="5" s="1"/>
  <c r="P26" i="5" s="1"/>
  <c r="O23" i="4"/>
  <c r="O27" i="4" s="1"/>
  <c r="O21" i="3" l="1"/>
  <c r="O22" i="3"/>
  <c r="J22" i="5"/>
  <c r="J25" i="5" s="1"/>
  <c r="U26" i="4"/>
  <c r="P28" i="5"/>
  <c r="O25" i="4"/>
  <c r="U28" i="4" l="1"/>
  <c r="U29" i="4" s="1"/>
  <c r="O23" i="3"/>
  <c r="O24" i="3" s="1"/>
  <c r="J23" i="5"/>
  <c r="J24" i="5" s="1"/>
  <c r="O26" i="4"/>
  <c r="P34" i="5"/>
  <c r="P36" i="5" s="1"/>
  <c r="P37" i="5" s="1"/>
  <c r="J26" i="5" l="1"/>
  <c r="J27" i="5" s="1"/>
  <c r="J28" i="5" s="1"/>
  <c r="O28" i="4"/>
  <c r="O29" i="4" s="1"/>
  <c r="O25" i="3"/>
  <c r="I19" i="3" l="1"/>
  <c r="I20" i="3" l="1"/>
  <c r="I21" i="3" s="1"/>
  <c r="I22" i="3"/>
  <c r="I23" i="3" l="1"/>
  <c r="I24" i="3" s="1"/>
  <c r="I2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0E1BC26B-A030-4632-BD22-D0D04B099B15}">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L2" authorId="0" shapeId="0" xr:uid="{00000000-0006-0000-0400-000001000000}">
      <text>
        <r>
          <rPr>
            <b/>
            <sz val="28"/>
            <color indexed="81"/>
            <rFont val="Tahoma"/>
            <family val="2"/>
          </rPr>
          <t>kara:</t>
        </r>
        <r>
          <rPr>
            <sz val="28"/>
            <color indexed="81"/>
            <rFont val="Tahoma"/>
            <family val="2"/>
          </rPr>
          <t xml:space="preserve">
Do we need this rate???</t>
        </r>
      </text>
    </comment>
  </commentList>
</comments>
</file>

<file path=xl/sharedStrings.xml><?xml version="1.0" encoding="utf-8"?>
<sst xmlns="http://schemas.openxmlformats.org/spreadsheetml/2006/main" count="824" uniqueCount="417">
  <si>
    <t>Full Program</t>
  </si>
  <si>
    <t>Master Look-Up Table</t>
  </si>
  <si>
    <t>Direct Care Add On (.25 FTE)</t>
  </si>
  <si>
    <t>FY17 Actuals</t>
  </si>
  <si>
    <t>For Rate</t>
  </si>
  <si>
    <t>Source</t>
  </si>
  <si>
    <t>Salary</t>
  </si>
  <si>
    <t>Salaries</t>
  </si>
  <si>
    <t>Taxes and Fringe</t>
  </si>
  <si>
    <t xml:space="preserve">Direct Care </t>
  </si>
  <si>
    <t>BLS</t>
  </si>
  <si>
    <t>Admin. Alloc. (M&amp;G)</t>
  </si>
  <si>
    <t>Taxes &amp; Fringe</t>
  </si>
  <si>
    <t>Benchmark</t>
  </si>
  <si>
    <t>Admin. Alloc. (M &amp; G)</t>
  </si>
  <si>
    <t>CAF</t>
  </si>
  <si>
    <t>Per month</t>
  </si>
  <si>
    <t xml:space="preserve"> Emergency Shelter - Full Program - 4624</t>
  </si>
  <si>
    <t>Emergency Shelter - Lower Facility Cost Program - 4624</t>
  </si>
  <si>
    <t>Ratio</t>
  </si>
  <si>
    <t>Rooms:</t>
  </si>
  <si>
    <t>4-14</t>
  </si>
  <si>
    <t>Days:</t>
  </si>
  <si>
    <t>Direct Mgmt Staffing</t>
  </si>
  <si>
    <t>Rooms to Staff</t>
  </si>
  <si>
    <t>Sal</t>
  </si>
  <si>
    <t>FTE</t>
  </si>
  <si>
    <t>Exp</t>
  </si>
  <si>
    <t>Direct Care</t>
  </si>
  <si>
    <t xml:space="preserve"> Direct Care</t>
  </si>
  <si>
    <t>Total Dir Care Staff</t>
  </si>
  <si>
    <t xml:space="preserve">Direct Care III  </t>
  </si>
  <si>
    <t>Total Compensation</t>
  </si>
  <si>
    <t>Expenses</t>
  </si>
  <si>
    <t>Unit Cost</t>
  </si>
  <si>
    <t>Consultant Services</t>
  </si>
  <si>
    <t>Occupancy</t>
  </si>
  <si>
    <t xml:space="preserve">Other Exp. </t>
  </si>
  <si>
    <t>Total reimb excl M&amp;G</t>
  </si>
  <si>
    <t xml:space="preserve">Admin. Alloc. </t>
  </si>
  <si>
    <t>TOTAL</t>
  </si>
  <si>
    <t>Utilization Rate</t>
  </si>
  <si>
    <t>current rate</t>
  </si>
  <si>
    <t>PFMLA</t>
  </si>
  <si>
    <t>Relief Assumptions:</t>
  </si>
  <si>
    <t>Days</t>
  </si>
  <si>
    <t>Hours</t>
  </si>
  <si>
    <t>vacation</t>
  </si>
  <si>
    <t>sick/ personal</t>
  </si>
  <si>
    <t>holidays</t>
  </si>
  <si>
    <t>training</t>
  </si>
  <si>
    <t>Total Hours per FTE:</t>
  </si>
  <si>
    <t>% of FTE</t>
  </si>
  <si>
    <t>Residential Housing Stabilization - 4625</t>
  </si>
  <si>
    <t xml:space="preserve">Housing Stabilization Advocacy &amp; </t>
  </si>
  <si>
    <t>Lower Facility Cost program</t>
  </si>
  <si>
    <t>Supportive Services (4625)</t>
  </si>
  <si>
    <t>Rate</t>
  </si>
  <si>
    <t>Master Lookup Data Rebased - DVSMT</t>
  </si>
  <si>
    <t>DVSMT Shelter - Full Program - 4626</t>
  </si>
  <si>
    <t>DVSMT Shelter - Lower Facility Cost Program  - 4626</t>
  </si>
  <si>
    <t>Relief</t>
  </si>
  <si>
    <t>Direct Care III</t>
  </si>
  <si>
    <t>Subcontracted Services</t>
  </si>
  <si>
    <t xml:space="preserve">Total </t>
  </si>
  <si>
    <t xml:space="preserve">Utilization RATE </t>
  </si>
  <si>
    <t>Utilization RATE</t>
  </si>
  <si>
    <t>Massachusetts Economic Indicators</t>
  </si>
  <si>
    <t>Prepared by Michael Lynch, 781-301-9129</t>
  </si>
  <si>
    <t>FY20</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</si>
  <si>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</si>
  <si>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</si>
  <si>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</si>
  <si>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</si>
  <si>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</si>
  <si>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</si>
  <si>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</si>
  <si>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</si>
  <si>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</si>
  <si>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</si>
  <si>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</si>
  <si>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</si>
  <si>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</si>
  <si>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</si>
  <si>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</si>
  <si>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</si>
  <si>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</si>
  <si>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</si>
  <si>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</si>
  <si>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</si>
  <si>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</si>
  <si>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</si>
  <si>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</si>
  <si>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</si>
  <si>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</si>
  <si>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</si>
  <si>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</si>
  <si>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</si>
  <si>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</si>
  <si>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</si>
  <si>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</si>
  <si>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</si>
  <si>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</si>
  <si>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</si>
  <si>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</si>
  <si>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</si>
  <si>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</si>
  <si>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</si>
  <si>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</si>
  <si>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</si>
  <si>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</si>
  <si>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</si>
  <si>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</si>
  <si>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</si>
  <si>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</si>
  <si>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</si>
  <si>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</si>
  <si>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</si>
  <si>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</si>
  <si>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</si>
  <si>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</si>
  <si>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</si>
  <si>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</si>
  <si>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</si>
  <si>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</si>
  <si>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</si>
  <si>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</si>
  <si>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</si>
  <si>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</si>
  <si>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</si>
  <si>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</si>
  <si>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</si>
  <si>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</si>
  <si>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</si>
  <si>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</si>
  <si>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</si>
  <si>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</si>
  <si>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</si>
  <si>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</si>
  <si>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</si>
  <si>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</si>
  <si>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</si>
  <si>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</si>
  <si>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</si>
  <si>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</si>
  <si>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</si>
  <si>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</si>
  <si>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</si>
  <si>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</si>
  <si>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</si>
  <si>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</si>
  <si>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</si>
  <si>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</si>
  <si>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</si>
  <si>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</si>
  <si>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</si>
  <si>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</si>
  <si>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</si>
  <si>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</si>
  <si>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</si>
  <si>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</si>
  <si>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</si>
  <si>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</si>
  <si>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</si>
  <si>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</si>
  <si>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</si>
  <si>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</si>
  <si>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</si>
  <si>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</si>
  <si>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</si>
  <si>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</si>
  <si>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July 1, 2022</t>
  </si>
  <si>
    <t xml:space="preserve">Base period: </t>
  </si>
  <si>
    <t>FY22Q4</t>
  </si>
  <si>
    <t>Average</t>
  </si>
  <si>
    <t xml:space="preserve">Prospective rate period: </t>
  </si>
  <si>
    <t>July 1, 2022 - June 30, 2024</t>
  </si>
  <si>
    <t>CAF:</t>
  </si>
  <si>
    <t>Source:</t>
  </si>
  <si>
    <t>2017/2018</t>
  </si>
  <si>
    <t>BLS / OES</t>
  </si>
  <si>
    <t>Position</t>
  </si>
  <si>
    <r>
      <t>Median</t>
    </r>
    <r>
      <rPr>
        <b/>
        <sz val="16"/>
        <color indexed="10"/>
        <rFont val="Calibri"/>
        <family val="2"/>
      </rPr>
      <t xml:space="preserve"> </t>
    </r>
  </si>
  <si>
    <t>Median</t>
  </si>
  <si>
    <t>Change</t>
  </si>
  <si>
    <t>Common model titles (not all inclusive)</t>
  </si>
  <si>
    <t>Minimum Education and/or certification/Training/Experience</t>
  </si>
  <si>
    <t>C.257 Average</t>
  </si>
  <si>
    <t>Hourly Difference b/w Avg &amp; C.257</t>
  </si>
  <si>
    <t>BLS Occupational Code(s)</t>
  </si>
  <si>
    <t>Direct Care (hourly)</t>
  </si>
  <si>
    <t>Direct Care, Direct Care Blend, Non Specialized DC, Peer mentor, Family Specialist/ Partner</t>
  </si>
  <si>
    <t>High School diploma / GED / State Training</t>
  </si>
  <si>
    <t>21-1093, 31-1120, 31-2022, 31-9099, 39-9032</t>
  </si>
  <si>
    <t>Direct Care  (annual)</t>
  </si>
  <si>
    <t>Direct Care III (hourly)</t>
  </si>
  <si>
    <t>Direct Care Supervisor, Direct Care Bachelors</t>
  </si>
  <si>
    <t>Bachelors Level or 5+ years related experience</t>
  </si>
  <si>
    <t>21-1094, 21-1015, 21-1018, 21-1023, 39-1098</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</si>
  <si>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</si>
  <si>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</si>
  <si>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</si>
  <si>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</si>
  <si>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</si>
  <si>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</si>
  <si>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</si>
  <si>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</si>
  <si>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</si>
  <si>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N/A</t>
  </si>
  <si>
    <t>21-1021, 21-1099</t>
  </si>
  <si>
    <t>Case / Social Worker (annual)</t>
  </si>
  <si>
    <t>LDAC1</t>
  </si>
  <si>
    <t>Case Manager / Social Worker / Clinical w/o independent License (hourly)</t>
  </si>
  <si>
    <t>LDAC2,  LMSW, LCSW</t>
  </si>
  <si>
    <t>Masters Level</t>
  </si>
  <si>
    <t>21-1021, 21-1019, 21-1022</t>
  </si>
  <si>
    <t>Case Manager / Social Worker / Clinical w/o independent License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</si>
  <si>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</si>
  <si>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</si>
  <si>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</si>
  <si>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</si>
  <si>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</si>
  <si>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</si>
  <si>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</si>
  <si>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19-3031, 21-1021, 21-1022</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</si>
  <si>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</si>
  <si>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</si>
  <si>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</si>
  <si>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</si>
  <si>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</si>
  <si>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</si>
  <si>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</si>
  <si>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</si>
  <si>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</si>
  <si>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</si>
  <si>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</si>
  <si>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</si>
  <si>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</si>
  <si>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</si>
  <si>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</si>
  <si>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</si>
  <si>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</si>
  <si>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</si>
  <si>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</si>
  <si>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</si>
  <si>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</si>
  <si>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Masters with Licensure in Related Discipline and supervising/managerial related experience</t>
  </si>
  <si>
    <t>19-3031</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</si>
  <si>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</si>
  <si>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</si>
  <si>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</si>
  <si>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</si>
  <si>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</si>
  <si>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</si>
  <si>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</si>
  <si>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</si>
  <si>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</si>
  <si>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</si>
  <si>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</si>
  <si>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</si>
  <si>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</si>
  <si>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Overnight staff (asleep or awake) benchmarked to $14.25</t>
  </si>
  <si>
    <t>CY21 min. wage = $13.50 and CY22 min. wage = $14.25 and CY23 = $15.00</t>
  </si>
  <si>
    <t xml:space="preserve">Tax and Fringe  =  </t>
  </si>
  <si>
    <t>Admin Allocation</t>
  </si>
  <si>
    <t>C.257 Benchmark</t>
  </si>
  <si>
    <t>Psychiatrist</t>
  </si>
  <si>
    <t>101 CMR 413: CT CIRT</t>
  </si>
  <si>
    <t>Medical Director</t>
  </si>
  <si>
    <t>M2020 BLS  Occ Code 29-1228</t>
  </si>
  <si>
    <t>these are not FOIA</t>
  </si>
  <si>
    <t>Psychologist (PhD</t>
  </si>
  <si>
    <t>101 CMR 413 : CT IRTP</t>
  </si>
  <si>
    <t>FY 22 RR</t>
  </si>
  <si>
    <t>IHS Markit, Fall 2021 Forecast Update (12/2021)</t>
  </si>
  <si>
    <t>Clinical (MA Level)</t>
  </si>
  <si>
    <t>Subcontracted Direct Care Services</t>
  </si>
  <si>
    <t xml:space="preserve">All other expenses </t>
  </si>
  <si>
    <t xml:space="preserve">Benchmarked to FY22 (actual) Commonwealth (office of the Comptroller) T&amp;F rate, less </t>
  </si>
  <si>
    <t>Terminal leave,and  retirement - does include PFMLA</t>
  </si>
  <si>
    <t xml:space="preserve">Relief / Consult / Temp </t>
  </si>
  <si>
    <t>Master Lookup Data</t>
  </si>
  <si>
    <t>Utilization</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</si>
  <si>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</si>
  <si>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</si>
  <si>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</si>
  <si>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</si>
  <si>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</si>
  <si>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</si>
  <si>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</si>
  <si>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</si>
  <si>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</si>
  <si>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</si>
  <si>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</si>
  <si>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Total Occupancy</t>
  </si>
  <si>
    <t>Staff Training 204</t>
  </si>
  <si>
    <t>Sum of Actual</t>
  </si>
  <si>
    <t>4624 Emergency Shelters</t>
  </si>
  <si>
    <t>4625
Resident Housing Stab</t>
  </si>
  <si>
    <t>DVSMT</t>
  </si>
  <si>
    <t>Units</t>
  </si>
  <si>
    <t>FTEs</t>
  </si>
  <si>
    <t>per unit cost</t>
  </si>
  <si>
    <t>per FTE cost</t>
  </si>
  <si>
    <t>Occupancy (per unit)</t>
  </si>
  <si>
    <t>Occupancy (per unit) Lower Facility</t>
  </si>
  <si>
    <t>Staff Training (per  unit)</t>
  </si>
  <si>
    <t>Occupancy (Per unit)</t>
  </si>
  <si>
    <t>101 CMR 426: ACCS</t>
  </si>
  <si>
    <t>Office Space Allocation Benchmarks</t>
  </si>
  <si>
    <t>Integrated Team Benchmark FTEs</t>
  </si>
  <si>
    <t># Shared Spaces Needed</t>
  </si>
  <si>
    <t>Benchmark USF</t>
  </si>
  <si>
    <t>Total SF</t>
  </si>
  <si>
    <t>Management</t>
  </si>
  <si>
    <t xml:space="preserve">    DC III</t>
  </si>
  <si>
    <t xml:space="preserve">    Direct Care</t>
  </si>
  <si>
    <t>Total</t>
  </si>
  <si>
    <r>
      <rPr>
        <i/>
        <u/>
        <sz val="10"/>
        <rFont val="Arial"/>
        <family val="2"/>
      </rPr>
      <t>Note</t>
    </r>
    <r>
      <rPr>
        <i/>
        <sz val="10"/>
        <rFont val="Arial"/>
        <family val="2"/>
      </rPr>
      <t>:</t>
    </r>
    <r>
      <rPr>
        <sz val="10"/>
        <rFont val="Arial"/>
        <family val="2"/>
      </rPr>
      <t xml:space="preserve"> The shared space figures used above and summarized below were used because services are mostly not performed in the office and not all of the staff will be on at the same time. As a result, the shared space model below was applied.</t>
    </r>
  </si>
  <si>
    <t>Source of Usable Square Foot (USF) Benchmarks:</t>
  </si>
  <si>
    <t xml:space="preserve">Workspace Utilization and Allocation Benchmark, U.S. General Services Administration Office of Government wide Policy Office of Real Property Management Performance Measurement Division, July 1, 2012 (Still Referenced by GSA as of 6/19/2016): http://www.gsa.gov/graphics/ogp/Workspace_Utilization_Banchmark_July_2012.pdf. </t>
  </si>
  <si>
    <t>Occupancy (office space per sq ft)</t>
  </si>
  <si>
    <t>Specialty Site Supervisor</t>
  </si>
  <si>
    <t>Specialty Site Manager (LICSW)</t>
  </si>
  <si>
    <t>Clinical without Independent Licensure
Specialty Site Supervisor</t>
  </si>
  <si>
    <t>Additional Program Expenses (per unit)</t>
  </si>
  <si>
    <t>BLS M2022 53rd Percentile</t>
  </si>
  <si>
    <t>EOHHS C.257 Benchmark</t>
  </si>
  <si>
    <t>53 Percentile</t>
  </si>
  <si>
    <r>
      <rPr>
        <b/>
        <sz val="20"/>
        <color rgb="FFFF0000"/>
        <rFont val="Calibri"/>
        <family val="2"/>
        <scheme val="minor"/>
      </rPr>
      <t>**PLEASE SEE NOTE BELOW</t>
    </r>
    <r>
      <rPr>
        <sz val="20"/>
        <color theme="1"/>
        <rFont val="Calibri"/>
        <family val="2"/>
        <scheme val="minor"/>
      </rPr>
      <t xml:space="preserve">
21-1093, 31-1120, 31-2022, 31-9099</t>
    </r>
  </si>
  <si>
    <t>21-1094, 21-1015, 21-1018, 21-1023, 39-1022</t>
  </si>
  <si>
    <t>Developmental Specialist,  Triage Specialist, Medical Assistant</t>
  </si>
  <si>
    <t>21-1021, 21-1019, 21-1022, 21-1029</t>
  </si>
  <si>
    <t>Clinical without Independent Licensure</t>
  </si>
  <si>
    <t>Assistant Manager</t>
  </si>
  <si>
    <t>19-3033, 21-1021, 21-1022, 19-3034</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</si>
  <si>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</si>
  <si>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</si>
  <si>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</si>
  <si>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Clinical Manager, Clinical Director</t>
  </si>
  <si>
    <t>19-3033, 19-3034</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</si>
  <si>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</si>
  <si>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</si>
  <si>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</si>
  <si>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</si>
  <si>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 xml:space="preserve">Tax and Fringe =  </t>
  </si>
  <si>
    <t xml:space="preserve">Benchmarked to FY24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</si>
  <si>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</si>
  <si>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</si>
  <si>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Psychiatrist *</t>
  </si>
  <si>
    <t>M2021 BLS  NAICS 623200 (Nat'l)   Intellectual and Developmental Disability,   Residential, Mental Health, and Substance Abuse Facilities</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</si>
  <si>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</si>
  <si>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</si>
  <si>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</si>
  <si>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</si>
  <si>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</si>
  <si>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</si>
  <si>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</si>
  <si>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</si>
  <si>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</si>
  <si>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</si>
  <si>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</si>
  <si>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</si>
  <si>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</si>
  <si>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</si>
  <si>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</si>
  <si>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</si>
  <si>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</si>
  <si>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</si>
  <si>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</si>
  <si>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</si>
  <si>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2023 Forecast</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</si>
  <si>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</si>
  <si>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</si>
  <si>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</si>
  <si>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</si>
  <si>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</si>
  <si>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</si>
  <si>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</si>
  <si>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</si>
  <si>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</si>
  <si>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</si>
  <si>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</si>
  <si>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</si>
  <si>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</si>
  <si>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</si>
  <si>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</si>
  <si>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</si>
  <si>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2024</t>
  </si>
  <si>
    <t>FY24Q4</t>
  </si>
  <si>
    <t>July 1, 2024 - June 30, 2025</t>
  </si>
  <si>
    <t>old CAF: 2.31%</t>
  </si>
  <si>
    <t>BLS Benchmark M2022 53rd %</t>
  </si>
  <si>
    <t>(Old CAF: 2.31)</t>
  </si>
  <si>
    <t>Old CAF: 2.31</t>
  </si>
  <si>
    <t xml:space="preserve"> </t>
  </si>
  <si>
    <t>EOHHS C. 257 Benchmark</t>
  </si>
  <si>
    <t>Spanish American Center, Inc.</t>
  </si>
  <si>
    <t>Asian Task Force Against Domestic Violen</t>
  </si>
  <si>
    <t>Greater New Bedford Women's Center, Inc.</t>
  </si>
  <si>
    <t>HarborCov, Inc.</t>
  </si>
  <si>
    <t>Health Imperatives, Inc.</t>
  </si>
  <si>
    <t>REACH Beyond Domestic Violence, Inc.</t>
  </si>
  <si>
    <t>RESPOND, Inc.</t>
  </si>
  <si>
    <t>Safe Passage</t>
  </si>
  <si>
    <t>Woman Shelter / Companeras</t>
  </si>
  <si>
    <t>YWCA Northeastern Massachusetts</t>
  </si>
  <si>
    <t>YWCA of Central Massachusetts, Inc.</t>
  </si>
  <si>
    <t>YWCA of Western Massachusetts, Inc.</t>
  </si>
  <si>
    <t>New England Women's Support, Inc.</t>
  </si>
  <si>
    <t>The Second Step, Inc.</t>
  </si>
  <si>
    <t>Way Finders, Inc.</t>
  </si>
  <si>
    <t>g</t>
  </si>
  <si>
    <r>
      <rPr>
        <b/>
        <sz val="20"/>
        <color rgb="FFFF0000"/>
        <rFont val="Calibri"/>
        <family val="2"/>
        <scheme val="minor"/>
      </rPr>
      <t>**PLEASE SEE NOTE BELOW</t>
    </r>
    <r>
      <rPr>
        <sz val="20"/>
        <color theme="1"/>
        <rFont val="Calibri"/>
        <family val="2"/>
        <scheme val="minor"/>
      </rPr>
      <t xml:space="preserve">  31-1131</t>
    </r>
  </si>
  <si>
    <t>FY22 UFR Data</t>
  </si>
  <si>
    <t>FY22 UFR Data (30% of Full)</t>
  </si>
  <si>
    <t>FY22 UFR Data (E18 &amp;E21)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</si>
</sst>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
    <numFmt numFmtId="167" formatCode="#,##0.0_);\(#,##0.0\)"/>
    <numFmt numFmtId="168" formatCode="0.0"/>
    <numFmt numFmtId="169" formatCode="0.0%"/>
    <numFmt numFmtId="170" formatCode="\$#,##0.00"/>
    <numFmt numFmtId="171" formatCode="0.000"/>
    <numFmt numFmtId="172" formatCode="_(&quot;$&quot;* #,##0.0000_);_(&quot;$&quot;* \(#,##0.0000\);_(&quot;$&quot;* &quot;-&quot;??_);_(@_)"/>
    <numFmt numFmtId="173" formatCode="&quot;$&quot;#,##0.0000_);[Red]\(&quot;$&quot;#,##0.0000\)"/>
    <numFmt numFmtId="174" formatCode="&quot;$&quot;#,##0.00"/>
    <numFmt numFmtId="175" formatCode="\$#,##0.000"/>
    <numFmt numFmtId="176" formatCode="[$-409]mmmm\ d\,\ yyyy;@"/>
    <numFmt numFmtId="177" formatCode="_(* #,##0_);_(* \(#,##0\);_(* &quot;-&quot;??_);_(@_)"/>
  </numFmts>
  <fonts count="97">
    <font>
      <sz val="11"/>
      <color theme="1"/>
      <name val="Calibri"/>
      <family val="2"/>
      <scheme val="minor"/>
    </font>
    <font>
      <sz val="11"/>
      <color theme="1"/>
      <name val="Calibri"/>
      <family val="2"/>
      <scheme val="minor"/>
    </font>
    <font>
      <b/>
      <sz val="18"/>
      <color theme="3"/>
      <name val="Cambria"/>
      <family val="2"/>
      <scheme val="major"/>
    </font>
    <font>
      <b/>
      <sz val="11"/>
      <color theme="1"/>
      <name val="Calibri"/>
      <family val="2"/>
      <scheme val="minor"/>
    </font>
    <font>
      <b/>
      <i/>
      <sz val="11"/>
      <name val="Calibri"/>
      <family val="2"/>
    </font>
    <font>
      <b/>
      <sz val="11"/>
      <color rgb="FF000000"/>
      <name val="Calibri"/>
      <family val="2"/>
    </font>
    <font>
      <b/>
      <sz val="11"/>
      <name val="Calibri"/>
      <family val="2"/>
    </font>
    <font>
      <i/>
      <sz val="11"/>
      <color theme="1"/>
      <name val="Calibri"/>
      <family val="2"/>
      <scheme val="minor"/>
    </font>
    <font>
      <sz val="11"/>
      <name val="Calibri"/>
      <family val="2"/>
      <scheme val="minor"/>
    </font>
    <font>
      <b/>
      <sz val="11"/>
      <name val="Calibri"/>
      <family val="2"/>
      <scheme val="minor"/>
    </font>
    <font>
      <sz val="10"/>
      <name val="Arial"/>
      <family val="2"/>
    </font>
    <font>
      <b/>
      <sz val="14"/>
      <name val="Arial"/>
      <family val="2"/>
    </font>
    <font>
      <b/>
      <sz val="10"/>
      <name val="Arial"/>
      <family val="2"/>
    </font>
    <font>
      <b/>
      <sz val="12"/>
      <name val="Arial"/>
      <family val="2"/>
    </font>
    <font>
      <b/>
      <i/>
      <sz val="10"/>
      <name val="Arial"/>
      <family val="2"/>
    </font>
    <font>
      <sz val="10"/>
      <color indexed="8"/>
      <name val="Arial"/>
      <family val="2"/>
    </font>
    <font>
      <b/>
      <sz val="12"/>
      <name val="Calibri"/>
      <family val="2"/>
      <scheme val="minor"/>
    </font>
    <font>
      <sz val="12"/>
      <name val="Calibri"/>
      <family val="2"/>
      <scheme val="minor"/>
    </font>
    <font>
      <b/>
      <sz val="11"/>
      <name val="Arial"/>
      <family val="2"/>
    </font>
    <font>
      <sz val="11"/>
      <name val="Arial"/>
      <family val="2"/>
    </font>
    <font>
      <b/>
      <sz val="16"/>
      <name val="Arial"/>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sz val="11"/>
      <color theme="1"/>
      <name val="Calibri"/>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0"/>
      <name val="Verdana"/>
      <family val="2"/>
    </font>
    <font>
      <sz val="10"/>
      <color theme="1"/>
      <name val="Tahoma"/>
      <family val="2"/>
    </font>
    <font>
      <sz val="10"/>
      <name val="MS Sans Serif"/>
      <family val="2"/>
    </font>
    <font>
      <b/>
      <sz val="11"/>
      <color indexed="63"/>
      <name val="Calibri"/>
      <family val="2"/>
    </font>
    <font>
      <sz val="11"/>
      <color theme="1"/>
      <name val="Calibri"/>
      <family val="2"/>
      <charset val="129"/>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sz val="10"/>
      <name val="Calibri"/>
      <family val="2"/>
      <scheme val="minor"/>
    </font>
    <font>
      <i/>
      <sz val="11"/>
      <name val="Calibri"/>
      <family val="2"/>
      <scheme val="minor"/>
    </font>
    <font>
      <b/>
      <i/>
      <sz val="11"/>
      <name val="Calibri"/>
      <family val="2"/>
      <scheme val="minor"/>
    </font>
    <font>
      <sz val="8"/>
      <name val="Calibri"/>
      <family val="2"/>
      <scheme val="minor"/>
    </font>
    <font>
      <b/>
      <i/>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11"/>
      <color rgb="FFFF0000"/>
      <name val="Calibri"/>
      <family val="2"/>
      <scheme val="minor"/>
    </font>
    <font>
      <b/>
      <sz val="16"/>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b/>
      <sz val="16"/>
      <color indexed="10"/>
      <name val="Calibri"/>
      <family val="2"/>
    </font>
    <font>
      <sz val="14"/>
      <color theme="1"/>
      <name val="Calibri"/>
      <family val="2"/>
      <scheme val="minor"/>
    </font>
    <font>
      <sz val="10"/>
      <name val="Arial"/>
      <family val="2"/>
    </font>
    <font>
      <b/>
      <sz val="28"/>
      <color indexed="81"/>
      <name val="Tahoma"/>
      <family val="2"/>
    </font>
    <font>
      <sz val="28"/>
      <color indexed="81"/>
      <name val="Tahom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i/>
      <sz val="10"/>
      <name val="Arial"/>
      <family val="2"/>
    </font>
    <font>
      <b/>
      <i/>
      <sz val="10"/>
      <color rgb="FFFF0000"/>
      <name val="Arial"/>
      <family val="2"/>
    </font>
    <font>
      <b/>
      <u/>
      <sz val="10"/>
      <color rgb="FFFF0000"/>
      <name val="Arial"/>
      <family val="2"/>
    </font>
    <font>
      <i/>
      <u/>
      <sz val="10"/>
      <name val="Arial"/>
      <family val="2"/>
    </font>
    <font>
      <u/>
      <sz val="11"/>
      <color theme="10"/>
      <name val="Calibri"/>
      <family val="2"/>
    </font>
    <font>
      <b/>
      <sz val="11"/>
      <color rgb="FFFF0000"/>
      <name val="Arial"/>
      <family val="2"/>
    </font>
    <font>
      <sz val="11"/>
      <color rgb="FFFF0000"/>
      <name val="Arial"/>
      <family val="2"/>
    </font>
    <font>
      <sz val="9"/>
      <name val="Calibri"/>
      <family val="2"/>
      <scheme val="minor"/>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sz val="10"/>
      <color theme="1"/>
      <name val="Arial"/>
      <family val="2"/>
    </font>
  </fonts>
  <fills count="71">
    <fill>
      <patternFill patternType="none"/>
    </fill>
    <fill>
      <patternFill patternType="gray125"/>
    </fill>
    <fill>
      <patternFill patternType="solid">
        <fgColor rgb="FFFFC7CE"/>
      </patternFill>
    </fill>
    <fill>
      <patternFill patternType="solid">
        <fgColor rgb="FFFFFFCC"/>
      </patternFill>
    </fill>
    <fill>
      <patternFill patternType="solid">
        <fgColor rgb="FFFFFF00"/>
        <bgColor indexed="64"/>
      </patternFill>
    </fill>
    <fill>
      <patternFill patternType="solid">
        <fgColor theme="7" tint="0.59999389629810485"/>
        <bgColor rgb="FF000000"/>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s>
  <borders count="117">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58"/>
      </top>
      <bottom style="thin">
        <color indexed="58"/>
      </bottom>
      <diagonal/>
    </border>
    <border>
      <left/>
      <right/>
      <top style="thin">
        <color indexed="58"/>
      </top>
      <bottom style="thin">
        <color indexed="58"/>
      </bottom>
      <diagonal/>
    </border>
    <border>
      <left/>
      <right style="medium">
        <color indexed="64"/>
      </right>
      <top style="thin">
        <color indexed="58"/>
      </top>
      <bottom style="thin">
        <color indexed="58"/>
      </bottom>
      <diagonal/>
    </border>
    <border>
      <left style="medium">
        <color indexed="64"/>
      </left>
      <right/>
      <top style="thin">
        <color indexed="58"/>
      </top>
      <bottom style="medium">
        <color indexed="64"/>
      </bottom>
      <diagonal/>
    </border>
    <border>
      <left/>
      <right/>
      <top style="thin">
        <color indexed="58"/>
      </top>
      <bottom style="medium">
        <color indexed="64"/>
      </bottom>
      <diagonal/>
    </border>
    <border>
      <left/>
      <right style="medium">
        <color indexed="64"/>
      </right>
      <top style="thin">
        <color indexed="58"/>
      </top>
      <bottom style="medium">
        <color indexed="64"/>
      </bottom>
      <diagonal/>
    </border>
    <border>
      <left/>
      <right style="medium">
        <color indexed="64"/>
      </right>
      <top style="thin">
        <color indexed="64"/>
      </top>
      <bottom style="thin">
        <color indexed="64"/>
      </bottom>
      <diagonal/>
    </border>
    <border>
      <left/>
      <right/>
      <top/>
      <bottom style="thin">
        <color indexed="58"/>
      </bottom>
      <diagonal/>
    </border>
    <border>
      <left/>
      <right/>
      <top/>
      <bottom style="thin">
        <color indexed="64"/>
      </bottom>
      <diagonal/>
    </border>
    <border>
      <left style="medium">
        <color indexed="64"/>
      </left>
      <right/>
      <top style="thin">
        <color indexed="58"/>
      </top>
      <bottom/>
      <diagonal/>
    </border>
    <border>
      <left/>
      <right/>
      <top style="thin">
        <color indexed="58"/>
      </top>
      <bottom/>
      <diagonal/>
    </border>
    <border>
      <left/>
      <right style="medium">
        <color indexed="64"/>
      </right>
      <top style="thin">
        <color indexed="58"/>
      </top>
      <bottom style="thin">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58"/>
      </top>
      <bottom style="double">
        <color indexed="58"/>
      </bottom>
      <diagonal/>
    </border>
    <border>
      <left/>
      <right/>
      <top style="thin">
        <color indexed="58"/>
      </top>
      <bottom style="double">
        <color indexed="58"/>
      </bottom>
      <diagonal/>
    </border>
    <border>
      <left/>
      <right style="medium">
        <color indexed="64"/>
      </right>
      <top style="thin">
        <color indexed="58"/>
      </top>
      <bottom style="double">
        <color indexed="58"/>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right style="medium">
        <color indexed="64"/>
      </right>
      <top style="thin">
        <color indexed="58"/>
      </top>
      <bottom/>
      <diagonal/>
    </border>
    <border>
      <left style="thin">
        <color indexed="8"/>
      </left>
      <right/>
      <top style="thin">
        <color indexed="8"/>
      </top>
      <bottom/>
      <diagonal/>
    </border>
    <border>
      <left style="thin">
        <color indexed="8"/>
      </left>
      <right/>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8"/>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78">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44" fontId="10" fillId="0" borderId="0" applyFont="0" applyFill="0" applyBorder="0" applyAlignment="0" applyProtection="0"/>
    <xf numFmtId="0" fontId="1" fillId="0" borderId="0"/>
    <xf numFmtId="0" fontId="10" fillId="0" borderId="0"/>
    <xf numFmtId="9" fontId="10" fillId="0" borderId="0" applyFont="0" applyFill="0" applyBorder="0" applyAlignment="0" applyProtection="0"/>
    <xf numFmtId="0" fontId="1" fillId="0" borderId="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20" borderId="0" applyNumberFormat="0" applyBorder="0" applyAlignment="0" applyProtection="0"/>
    <xf numFmtId="0" fontId="22" fillId="21"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8" borderId="0" applyNumberFormat="0" applyBorder="0" applyAlignment="0" applyProtection="0"/>
    <xf numFmtId="0" fontId="23" fillId="12" borderId="0" applyNumberFormat="0" applyBorder="0" applyAlignment="0" applyProtection="0"/>
    <xf numFmtId="0" fontId="24" fillId="2" borderId="0" applyNumberFormat="0" applyBorder="0" applyAlignment="0" applyProtection="0"/>
    <xf numFmtId="0" fontId="25" fillId="0" borderId="45" applyNumberFormat="0" applyFont="0" applyProtection="0">
      <alignment wrapText="1"/>
    </xf>
    <xf numFmtId="0" fontId="26" fillId="29" borderId="46" applyNumberFormat="0" applyAlignment="0" applyProtection="0"/>
    <xf numFmtId="0" fontId="27" fillId="30" borderId="47" applyNumberFormat="0" applyAlignment="0" applyProtection="0"/>
    <xf numFmtId="41" fontId="10"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2" fontId="10"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8"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25" fillId="0" borderId="48" applyNumberFormat="0" applyProtection="0">
      <alignment wrapText="1"/>
    </xf>
    <xf numFmtId="0" fontId="30" fillId="13" borderId="0" applyNumberFormat="0" applyBorder="0" applyAlignment="0" applyProtection="0"/>
    <xf numFmtId="0" fontId="31" fillId="0" borderId="49" applyNumberFormat="0" applyProtection="0">
      <alignment wrapText="1"/>
    </xf>
    <xf numFmtId="0" fontId="32" fillId="0" borderId="50" applyNumberFormat="0" applyFill="0" applyAlignment="0" applyProtection="0"/>
    <xf numFmtId="0" fontId="33" fillId="0" borderId="51" applyNumberFormat="0" applyFill="0" applyAlignment="0" applyProtection="0"/>
    <xf numFmtId="0" fontId="34" fillId="0" borderId="52"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16" borderId="46" applyNumberFormat="0" applyAlignment="0" applyProtection="0"/>
    <xf numFmtId="0" fontId="37" fillId="0" borderId="53" applyNumberFormat="0" applyFill="0" applyAlignment="0" applyProtection="0"/>
    <xf numFmtId="0" fontId="38" fillId="31" borderId="0" applyNumberFormat="0" applyBorder="0" applyAlignment="0" applyProtection="0"/>
    <xf numFmtId="0" fontId="10" fillId="0" borderId="0"/>
    <xf numFmtId="0" fontId="1" fillId="0" borderId="0"/>
    <xf numFmtId="0" fontId="1" fillId="0" borderId="0"/>
    <xf numFmtId="0" fontId="1" fillId="0" borderId="0"/>
    <xf numFmtId="0" fontId="15" fillId="0" borderId="0"/>
    <xf numFmtId="0" fontId="1" fillId="0" borderId="0"/>
    <xf numFmtId="0" fontId="1" fillId="0" borderId="0"/>
    <xf numFmtId="0" fontId="10" fillId="0" borderId="0"/>
    <xf numFmtId="0" fontId="10" fillId="0" borderId="0"/>
    <xf numFmtId="0" fontId="10" fillId="0" borderId="0"/>
    <xf numFmtId="0" fontId="10" fillId="0" borderId="0"/>
    <xf numFmtId="0" fontId="1" fillId="0" borderId="0"/>
    <xf numFmtId="0" fontId="1" fillId="0" borderId="0"/>
    <xf numFmtId="0" fontId="19" fillId="0" borderId="0"/>
    <xf numFmtId="0" fontId="19" fillId="0" borderId="0"/>
    <xf numFmtId="0" fontId="1" fillId="0" borderId="0"/>
    <xf numFmtId="0" fontId="1" fillId="0" borderId="0"/>
    <xf numFmtId="0" fontId="10" fillId="0" borderId="0"/>
    <xf numFmtId="0" fontId="28" fillId="0" borderId="0"/>
    <xf numFmtId="0" fontId="39" fillId="0" borderId="0"/>
    <xf numFmtId="0" fontId="10" fillId="0" borderId="0"/>
    <xf numFmtId="0" fontId="10" fillId="0" borderId="0"/>
    <xf numFmtId="0" fontId="28" fillId="0" borderId="0"/>
    <xf numFmtId="0" fontId="21" fillId="0" borderId="0"/>
    <xf numFmtId="0" fontId="21" fillId="0" borderId="0"/>
    <xf numFmtId="0" fontId="1" fillId="0" borderId="0"/>
    <xf numFmtId="0" fontId="1" fillId="0" borderId="0"/>
    <xf numFmtId="0" fontId="1" fillId="0" borderId="0"/>
    <xf numFmtId="0" fontId="10" fillId="0" borderId="0"/>
    <xf numFmtId="0" fontId="40" fillId="0" borderId="0"/>
    <xf numFmtId="0" fontId="10" fillId="0" borderId="0"/>
    <xf numFmtId="0" fontId="1" fillId="0" borderId="0"/>
    <xf numFmtId="0" fontId="10" fillId="0" borderId="0"/>
    <xf numFmtId="0" fontId="15" fillId="0" borderId="0">
      <alignment vertical="top"/>
    </xf>
    <xf numFmtId="0" fontId="40" fillId="0" borderId="0"/>
    <xf numFmtId="0" fontId="1" fillId="0" borderId="0"/>
    <xf numFmtId="0" fontId="1" fillId="0" borderId="0"/>
    <xf numFmtId="0" fontId="10" fillId="0" borderId="0"/>
    <xf numFmtId="0" fontId="10" fillId="0" borderId="0"/>
    <xf numFmtId="0" fontId="28" fillId="0" borderId="0"/>
    <xf numFmtId="0" fontId="28" fillId="0" borderId="0"/>
    <xf numFmtId="0" fontId="1" fillId="0" borderId="0"/>
    <xf numFmtId="0" fontId="10" fillId="0" borderId="0"/>
    <xf numFmtId="0" fontId="28" fillId="0" borderId="0"/>
    <xf numFmtId="0" fontId="10" fillId="0" borderId="0"/>
    <xf numFmtId="0" fontId="10" fillId="0" borderId="0"/>
    <xf numFmtId="0" fontId="4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3" borderId="1" applyNumberFormat="0" applyFont="0" applyAlignment="0" applyProtection="0"/>
    <xf numFmtId="0" fontId="10" fillId="32" borderId="54" applyNumberFormat="0" applyFont="0" applyAlignment="0" applyProtection="0"/>
    <xf numFmtId="0" fontId="42" fillId="29" borderId="55" applyNumberFormat="0" applyAlignment="0" applyProtection="0"/>
    <xf numFmtId="0" fontId="31" fillId="0" borderId="56" applyNumberFormat="0" applyProtection="0">
      <alignment wrapText="1"/>
    </xf>
    <xf numFmtId="9" fontId="2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4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4" fillId="0" borderId="0" applyNumberFormat="0" applyProtection="0">
      <alignment horizontal="left"/>
    </xf>
    <xf numFmtId="0" fontId="2" fillId="0" borderId="0" applyNumberFormat="0" applyFill="0" applyBorder="0" applyAlignment="0" applyProtection="0"/>
    <xf numFmtId="0" fontId="45" fillId="0" borderId="0" applyNumberFormat="0" applyFill="0" applyBorder="0" applyAlignment="0" applyProtection="0"/>
    <xf numFmtId="0" fontId="46" fillId="0" borderId="57" applyNumberFormat="0" applyFill="0" applyAlignment="0" applyProtection="0"/>
    <xf numFmtId="0" fontId="47" fillId="0" borderId="0" applyNumberForma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 fillId="0" borderId="0"/>
    <xf numFmtId="0" fontId="10" fillId="0" borderId="0"/>
    <xf numFmtId="0" fontId="64" fillId="0" borderId="0"/>
    <xf numFmtId="0" fontId="1" fillId="0" borderId="0"/>
    <xf numFmtId="0" fontId="10" fillId="0" borderId="0"/>
    <xf numFmtId="0" fontId="2" fillId="0" borderId="0" applyNumberFormat="0" applyFill="0" applyBorder="0" applyAlignment="0" applyProtection="0"/>
    <xf numFmtId="0" fontId="67" fillId="0" borderId="74" applyNumberFormat="0" applyFill="0" applyAlignment="0" applyProtection="0"/>
    <xf numFmtId="0" fontId="68" fillId="0" borderId="75" applyNumberFormat="0" applyFill="0" applyAlignment="0" applyProtection="0"/>
    <xf numFmtId="0" fontId="69" fillId="0" borderId="76" applyNumberFormat="0" applyFill="0" applyAlignment="0" applyProtection="0"/>
    <xf numFmtId="0" fontId="69" fillId="0" borderId="0" applyNumberFormat="0" applyFill="0" applyBorder="0" applyAlignment="0" applyProtection="0"/>
    <xf numFmtId="0" fontId="70" fillId="41" borderId="0" applyNumberFormat="0" applyBorder="0" applyAlignment="0" applyProtection="0"/>
    <xf numFmtId="0" fontId="71" fillId="2" borderId="0" applyNumberFormat="0" applyBorder="0" applyAlignment="0" applyProtection="0"/>
    <xf numFmtId="0" fontId="72" fillId="42" borderId="0" applyNumberFormat="0" applyBorder="0" applyAlignment="0" applyProtection="0"/>
    <xf numFmtId="0" fontId="73" fillId="43" borderId="77" applyNumberFormat="0" applyAlignment="0" applyProtection="0"/>
    <xf numFmtId="0" fontId="74" fillId="44" borderId="78" applyNumberFormat="0" applyAlignment="0" applyProtection="0"/>
    <xf numFmtId="0" fontId="75" fillId="44" borderId="77" applyNumberFormat="0" applyAlignment="0" applyProtection="0"/>
    <xf numFmtId="0" fontId="76" fillId="0" borderId="79" applyNumberFormat="0" applyFill="0" applyAlignment="0" applyProtection="0"/>
    <xf numFmtId="0" fontId="77" fillId="45" borderId="80" applyNumberFormat="0" applyAlignment="0" applyProtection="0"/>
    <xf numFmtId="0" fontId="57" fillId="0" borderId="0" applyNumberFormat="0" applyFill="0" applyBorder="0" applyAlignment="0" applyProtection="0"/>
    <xf numFmtId="0" fontId="1" fillId="3" borderId="1" applyNumberFormat="0" applyFont="0" applyAlignment="0" applyProtection="0"/>
    <xf numFmtId="0" fontId="78" fillId="0" borderId="0" applyNumberFormat="0" applyFill="0" applyBorder="0" applyAlignment="0" applyProtection="0"/>
    <xf numFmtId="0" fontId="3" fillId="0" borderId="81" applyNumberFormat="0" applyFill="0" applyAlignment="0" applyProtection="0"/>
    <xf numFmtId="0" fontId="79"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79" fillId="49" borderId="0" applyNumberFormat="0" applyBorder="0" applyAlignment="0" applyProtection="0"/>
    <xf numFmtId="0" fontId="79"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79" fillId="53" borderId="0" applyNumberFormat="0" applyBorder="0" applyAlignment="0" applyProtection="0"/>
    <xf numFmtId="0" fontId="79"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79" fillId="57" borderId="0" applyNumberFormat="0" applyBorder="0" applyAlignment="0" applyProtection="0"/>
    <xf numFmtId="0" fontId="79"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79" fillId="61" borderId="0" applyNumberFormat="0" applyBorder="0" applyAlignment="0" applyProtection="0"/>
    <xf numFmtId="0" fontId="79"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79" fillId="65" borderId="0" applyNumberFormat="0" applyBorder="0" applyAlignment="0" applyProtection="0"/>
    <xf numFmtId="0" fontId="79"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79" fillId="69" borderId="0" applyNumberFormat="0" applyBorder="0" applyAlignment="0" applyProtection="0"/>
    <xf numFmtId="0" fontId="39" fillId="0" borderId="0"/>
    <xf numFmtId="0" fontId="28" fillId="0" borderId="0"/>
    <xf numFmtId="0" fontId="28" fillId="0" borderId="0"/>
    <xf numFmtId="43" fontId="1" fillId="0" borderId="0" applyFont="0" applyFill="0" applyBorder="0" applyAlignment="0" applyProtection="0"/>
    <xf numFmtId="43" fontId="2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 fillId="0" borderId="0"/>
    <xf numFmtId="9" fontId="2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6" fillId="29" borderId="46" applyNumberFormat="0" applyAlignment="0" applyProtection="0"/>
    <xf numFmtId="0" fontId="26" fillId="29" borderId="46"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78" fillId="0" borderId="0" applyNumberFormat="0" applyFill="0" applyBorder="0" applyAlignment="0" applyProtection="0"/>
    <xf numFmtId="0" fontId="29" fillId="0" borderId="0" applyNumberFormat="0" applyFill="0" applyBorder="0" applyAlignment="0" applyProtection="0"/>
    <xf numFmtId="0" fontId="67" fillId="0" borderId="74" applyNumberFormat="0" applyFill="0" applyAlignment="0" applyProtection="0"/>
    <xf numFmtId="0" fontId="32" fillId="0" borderId="50" applyNumberFormat="0" applyFill="0" applyAlignment="0" applyProtection="0"/>
    <xf numFmtId="0" fontId="68" fillId="0" borderId="75" applyNumberFormat="0" applyFill="0" applyAlignment="0" applyProtection="0"/>
    <xf numFmtId="0" fontId="33" fillId="0" borderId="51" applyNumberFormat="0" applyFill="0" applyAlignment="0" applyProtection="0"/>
    <xf numFmtId="0" fontId="69" fillId="0" borderId="76" applyNumberFormat="0" applyFill="0" applyAlignment="0" applyProtection="0"/>
    <xf numFmtId="0" fontId="34" fillId="0" borderId="52" applyNumberFormat="0" applyFill="0" applyAlignment="0" applyProtection="0"/>
    <xf numFmtId="0" fontId="69" fillId="0" borderId="0" applyNumberFormat="0" applyFill="0" applyBorder="0" applyAlignment="0" applyProtection="0"/>
    <xf numFmtId="0" fontId="34" fillId="0" borderId="0" applyNumberFormat="0" applyFill="0" applyBorder="0" applyAlignment="0" applyProtection="0"/>
    <xf numFmtId="0" fontId="36" fillId="16" borderId="46" applyNumberFormat="0" applyAlignment="0" applyProtection="0"/>
    <xf numFmtId="0" fontId="36" fillId="16" borderId="46" applyNumberFormat="0" applyAlignment="0" applyProtection="0"/>
    <xf numFmtId="0" fontId="76" fillId="0" borderId="79" applyNumberFormat="0" applyFill="0" applyAlignment="0" applyProtection="0"/>
    <xf numFmtId="0" fontId="37" fillId="0" borderId="53" applyNumberFormat="0" applyFill="0" applyAlignment="0" applyProtection="0"/>
    <xf numFmtId="0" fontId="21" fillId="0" borderId="0"/>
    <xf numFmtId="0" fontId="40" fillId="0" borderId="0"/>
    <xf numFmtId="0" fontId="1" fillId="0" borderId="0"/>
    <xf numFmtId="0" fontId="1" fillId="0" borderId="0"/>
    <xf numFmtId="0" fontId="1" fillId="0" borderId="0"/>
    <xf numFmtId="0" fontId="1" fillId="0" borderId="0"/>
    <xf numFmtId="0" fontId="10" fillId="0" borderId="0"/>
    <xf numFmtId="0" fontId="10" fillId="32" borderId="54" applyNumberFormat="0" applyFont="0" applyAlignment="0" applyProtection="0"/>
    <xf numFmtId="0" fontId="42" fillId="29" borderId="55" applyNumberFormat="0" applyAlignment="0" applyProtection="0"/>
    <xf numFmtId="0" fontId="42" fillId="29" borderId="55" applyNumberFormat="0" applyAlignment="0" applyProtection="0"/>
    <xf numFmtId="9" fontId="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5" fillId="0" borderId="0" applyNumberFormat="0" applyFill="0" applyBorder="0" applyAlignment="0" applyProtection="0"/>
    <xf numFmtId="0" fontId="3" fillId="0" borderId="81" applyNumberFormat="0" applyFill="0" applyAlignment="0" applyProtection="0"/>
    <xf numFmtId="0" fontId="46" fillId="0" borderId="57" applyNumberFormat="0" applyFill="0" applyAlignment="0" applyProtection="0"/>
    <xf numFmtId="0" fontId="57" fillId="0" borderId="0" applyNumberFormat="0" applyFill="0" applyBorder="0" applyAlignment="0" applyProtection="0"/>
    <xf numFmtId="0" fontId="47" fillId="0" borderId="0" applyNumberForma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8" fillId="0" borderId="0"/>
    <xf numFmtId="0" fontId="10" fillId="0" borderId="0"/>
    <xf numFmtId="0" fontId="84" fillId="0" borderId="0" applyNumberFormat="0" applyFill="0" applyBorder="0" applyAlignment="0" applyProtection="0"/>
    <xf numFmtId="0" fontId="1" fillId="0" borderId="0"/>
    <xf numFmtId="0" fontId="96" fillId="0" borderId="0">
      <alignment horizontal="left" vertical="center" wrapText="1"/>
    </xf>
  </cellStyleXfs>
  <cellXfs count="797">
    <xf numFmtId="0" fontId="0" fillId="0" borderId="0" xfId="0"/>
    <xf numFmtId="10" fontId="0" fillId="0" borderId="0" xfId="2" applyNumberFormat="1" applyFont="1"/>
    <xf numFmtId="0" fontId="0" fillId="0" borderId="5" xfId="0" applyBorder="1"/>
    <xf numFmtId="0" fontId="0" fillId="0" borderId="8" xfId="0" applyBorder="1"/>
    <xf numFmtId="0" fontId="0" fillId="0" borderId="10" xfId="0" applyBorder="1"/>
    <xf numFmtId="0" fontId="5" fillId="0" borderId="11" xfId="0" applyFont="1" applyBorder="1" applyAlignment="1">
      <alignment horizontal="center"/>
    </xf>
    <xf numFmtId="0" fontId="6" fillId="0" borderId="12" xfId="0" applyFont="1" applyBorder="1" applyAlignment="1">
      <alignment horizontal="center" vertical="center"/>
    </xf>
    <xf numFmtId="0" fontId="7" fillId="6" borderId="5" xfId="0" applyFont="1" applyFill="1" applyBorder="1"/>
    <xf numFmtId="165" fontId="0" fillId="6" borderId="13" xfId="1" applyNumberFormat="1" applyFont="1" applyFill="1" applyBorder="1"/>
    <xf numFmtId="165" fontId="0" fillId="6" borderId="14" xfId="1" applyNumberFormat="1" applyFont="1" applyFill="1" applyBorder="1"/>
    <xf numFmtId="0" fontId="5" fillId="6" borderId="5" xfId="0" applyFont="1" applyFill="1" applyBorder="1" applyAlignment="1">
      <alignment horizontal="center"/>
    </xf>
    <xf numFmtId="0" fontId="0" fillId="6" borderId="15" xfId="0" applyFill="1" applyBorder="1"/>
    <xf numFmtId="0" fontId="0" fillId="6" borderId="6" xfId="0" applyFill="1" applyBorder="1"/>
    <xf numFmtId="10" fontId="0" fillId="0" borderId="0" xfId="2" applyNumberFormat="1" applyFont="1" applyBorder="1" applyAlignment="1">
      <alignment horizontal="center"/>
    </xf>
    <xf numFmtId="165" fontId="0" fillId="0" borderId="6" xfId="0" applyNumberFormat="1" applyBorder="1"/>
    <xf numFmtId="166" fontId="8" fillId="6" borderId="5" xfId="0" applyNumberFormat="1" applyFont="1" applyFill="1" applyBorder="1"/>
    <xf numFmtId="165" fontId="8" fillId="6" borderId="15" xfId="1" applyNumberFormat="1" applyFont="1" applyFill="1" applyBorder="1"/>
    <xf numFmtId="165" fontId="0" fillId="0" borderId="16" xfId="0" applyNumberFormat="1" applyBorder="1"/>
    <xf numFmtId="0" fontId="8" fillId="6" borderId="5" xfId="0" applyFont="1" applyFill="1" applyBorder="1"/>
    <xf numFmtId="10" fontId="8" fillId="6" borderId="15" xfId="0" applyNumberFormat="1" applyFont="1" applyFill="1" applyBorder="1" applyAlignment="1">
      <alignment horizontal="right"/>
    </xf>
    <xf numFmtId="0" fontId="0" fillId="0" borderId="0" xfId="0" applyAlignment="1">
      <alignment horizontal="center"/>
    </xf>
    <xf numFmtId="10" fontId="8" fillId="6" borderId="15" xfId="2" applyNumberFormat="1" applyFont="1" applyFill="1" applyBorder="1"/>
    <xf numFmtId="0" fontId="8" fillId="6" borderId="7" xfId="0" applyFont="1" applyFill="1" applyBorder="1"/>
    <xf numFmtId="10" fontId="3" fillId="6" borderId="17" xfId="0" applyNumberFormat="1" applyFont="1" applyFill="1" applyBorder="1"/>
    <xf numFmtId="0" fontId="0" fillId="6" borderId="9" xfId="0" applyFill="1" applyBorder="1"/>
    <xf numFmtId="0" fontId="0" fillId="0" borderId="2" xfId="0" applyBorder="1"/>
    <xf numFmtId="0" fontId="0" fillId="0" borderId="3" xfId="0" applyBorder="1"/>
    <xf numFmtId="165" fontId="3" fillId="0" borderId="4" xfId="0" applyNumberFormat="1" applyFont="1" applyBorder="1"/>
    <xf numFmtId="0" fontId="7" fillId="6" borderId="2" xfId="0" applyFont="1" applyFill="1" applyBorder="1"/>
    <xf numFmtId="0" fontId="8" fillId="6" borderId="0" xfId="0" applyFont="1" applyFill="1"/>
    <xf numFmtId="44" fontId="0" fillId="0" borderId="0" xfId="1" applyFont="1"/>
    <xf numFmtId="0" fontId="12" fillId="0" borderId="5" xfId="3" applyFont="1" applyBorder="1" applyAlignment="1">
      <alignment horizontal="right"/>
    </xf>
    <xf numFmtId="166" fontId="12" fillId="0" borderId="0" xfId="3" applyNumberFormat="1" applyFont="1" applyAlignment="1">
      <alignment horizontal="center"/>
    </xf>
    <xf numFmtId="3" fontId="12" fillId="0" borderId="6" xfId="3" applyNumberFormat="1" applyFont="1" applyBorder="1"/>
    <xf numFmtId="166" fontId="10" fillId="0" borderId="6" xfId="3" applyNumberFormat="1" applyBorder="1"/>
    <xf numFmtId="0" fontId="12" fillId="0" borderId="22" xfId="3" applyFont="1" applyBorder="1"/>
    <xf numFmtId="0" fontId="12" fillId="0" borderId="23" xfId="3" applyFont="1" applyBorder="1" applyAlignment="1">
      <alignment horizontal="center"/>
    </xf>
    <xf numFmtId="2" fontId="12" fillId="0" borderId="23" xfId="3" applyNumberFormat="1" applyFont="1" applyBorder="1" applyAlignment="1">
      <alignment horizontal="center"/>
    </xf>
    <xf numFmtId="166" fontId="12" fillId="0" borderId="24" xfId="3" applyNumberFormat="1" applyFont="1" applyBorder="1"/>
    <xf numFmtId="0" fontId="12" fillId="0" borderId="0" xfId="3" applyFont="1" applyAlignment="1">
      <alignment horizontal="center"/>
    </xf>
    <xf numFmtId="2" fontId="12" fillId="0" borderId="0" xfId="3" applyNumberFormat="1" applyFont="1" applyAlignment="1">
      <alignment horizontal="center"/>
    </xf>
    <xf numFmtId="166" fontId="12" fillId="0" borderId="6" xfId="3" applyNumberFormat="1" applyFont="1" applyBorder="1"/>
    <xf numFmtId="0" fontId="10" fillId="0" borderId="5" xfId="3" applyBorder="1"/>
    <xf numFmtId="169" fontId="10" fillId="0" borderId="0" xfId="3" applyNumberFormat="1" applyAlignment="1">
      <alignment horizontal="center"/>
    </xf>
    <xf numFmtId="1" fontId="12" fillId="0" borderId="0" xfId="3" applyNumberFormat="1" applyFont="1" applyAlignment="1">
      <alignment horizontal="center"/>
    </xf>
    <xf numFmtId="169" fontId="12" fillId="0" borderId="23" xfId="3" applyNumberFormat="1" applyFont="1" applyBorder="1" applyAlignment="1">
      <alignment horizontal="center"/>
    </xf>
    <xf numFmtId="0" fontId="10" fillId="0" borderId="0" xfId="3" applyAlignment="1">
      <alignment horizontal="center"/>
    </xf>
    <xf numFmtId="0" fontId="17" fillId="0" borderId="6" xfId="0" applyFont="1" applyBorder="1" applyAlignment="1">
      <alignment horizontal="center"/>
    </xf>
    <xf numFmtId="0" fontId="10" fillId="0" borderId="5" xfId="3" applyBorder="1" applyAlignment="1">
      <alignment horizontal="right"/>
    </xf>
    <xf numFmtId="166" fontId="12" fillId="0" borderId="40" xfId="3" applyNumberFormat="1" applyFont="1" applyBorder="1"/>
    <xf numFmtId="0" fontId="12" fillId="0" borderId="0" xfId="3" applyFont="1"/>
    <xf numFmtId="2" fontId="12" fillId="0" borderId="0" xfId="3" applyNumberFormat="1" applyFont="1"/>
    <xf numFmtId="170" fontId="11" fillId="4" borderId="44" xfId="3" applyNumberFormat="1" applyFont="1" applyFill="1" applyBorder="1"/>
    <xf numFmtId="0" fontId="19" fillId="0" borderId="8" xfId="0" applyFont="1" applyBorder="1"/>
    <xf numFmtId="166" fontId="10" fillId="0" borderId="0" xfId="3" applyNumberFormat="1"/>
    <xf numFmtId="175" fontId="12" fillId="0" borderId="0" xfId="6" applyNumberFormat="1" applyFont="1"/>
    <xf numFmtId="167" fontId="10" fillId="0" borderId="0" xfId="4" quotePrefix="1" applyNumberFormat="1" applyFont="1" applyFill="1" applyBorder="1" applyAlignment="1">
      <alignment horizontal="center"/>
    </xf>
    <xf numFmtId="166" fontId="10" fillId="0" borderId="0" xfId="3" applyNumberFormat="1" applyAlignment="1">
      <alignment horizontal="center"/>
    </xf>
    <xf numFmtId="2" fontId="10" fillId="0" borderId="0" xfId="3" applyNumberFormat="1" applyAlignment="1">
      <alignment horizontal="center"/>
    </xf>
    <xf numFmtId="0" fontId="8" fillId="0" borderId="0" xfId="0" applyFont="1"/>
    <xf numFmtId="39" fontId="10" fillId="0" borderId="0" xfId="4" quotePrefix="1" applyNumberFormat="1" applyFont="1" applyFill="1" applyBorder="1" applyAlignment="1">
      <alignment horizontal="center"/>
    </xf>
    <xf numFmtId="10" fontId="10" fillId="0" borderId="0" xfId="3" applyNumberFormat="1" applyAlignment="1">
      <alignment horizontal="center"/>
    </xf>
    <xf numFmtId="1" fontId="10" fillId="0" borderId="0" xfId="3" applyNumberFormat="1" applyAlignment="1">
      <alignment horizontal="center"/>
    </xf>
    <xf numFmtId="0" fontId="18" fillId="0" borderId="0" xfId="0" applyFont="1"/>
    <xf numFmtId="0" fontId="19" fillId="0" borderId="0" xfId="0" applyFont="1"/>
    <xf numFmtId="166" fontId="12" fillId="0" borderId="0" xfId="3" applyNumberFormat="1" applyFont="1"/>
    <xf numFmtId="0" fontId="8" fillId="0" borderId="0" xfId="0" applyFont="1" applyAlignment="1">
      <alignment horizontal="center"/>
    </xf>
    <xf numFmtId="0" fontId="8" fillId="0" borderId="5" xfId="0" applyFont="1" applyBorder="1"/>
    <xf numFmtId="10" fontId="8" fillId="0" borderId="0" xfId="0" applyNumberFormat="1" applyFont="1" applyAlignment="1">
      <alignment horizontal="center"/>
    </xf>
    <xf numFmtId="10" fontId="18" fillId="0" borderId="0" xfId="0" applyNumberFormat="1" applyFont="1" applyAlignment="1">
      <alignment horizontal="center"/>
    </xf>
    <xf numFmtId="165" fontId="9" fillId="0" borderId="15" xfId="1" applyNumberFormat="1" applyFont="1" applyFill="1" applyBorder="1"/>
    <xf numFmtId="10" fontId="9" fillId="0" borderId="15" xfId="0" applyNumberFormat="1" applyFont="1" applyBorder="1" applyAlignment="1">
      <alignment horizontal="right"/>
    </xf>
    <xf numFmtId="10" fontId="9" fillId="0" borderId="15" xfId="2" applyNumberFormat="1" applyFont="1" applyFill="1" applyBorder="1"/>
    <xf numFmtId="10" fontId="3" fillId="0" borderId="17" xfId="0" applyNumberFormat="1" applyFont="1" applyBorder="1"/>
    <xf numFmtId="16" fontId="12" fillId="0" borderId="0" xfId="3" quotePrefix="1" applyNumberFormat="1" applyFont="1" applyAlignment="1">
      <alignment horizontal="center"/>
    </xf>
    <xf numFmtId="0" fontId="8" fillId="0" borderId="0" xfId="0" applyFont="1" applyAlignment="1">
      <alignment vertical="center"/>
    </xf>
    <xf numFmtId="0" fontId="49" fillId="0" borderId="0" xfId="0" applyFont="1"/>
    <xf numFmtId="0" fontId="16" fillId="0" borderId="5" xfId="0" applyFont="1" applyBorder="1" applyAlignment="1">
      <alignment horizontal="left"/>
    </xf>
    <xf numFmtId="0" fontId="17" fillId="0" borderId="5" xfId="0" applyFont="1" applyBorder="1" applyAlignment="1">
      <alignment horizontal="left"/>
    </xf>
    <xf numFmtId="0" fontId="17" fillId="0" borderId="0" xfId="0" applyFont="1" applyAlignment="1">
      <alignment horizontal="left"/>
    </xf>
    <xf numFmtId="0" fontId="18" fillId="0" borderId="5" xfId="0" applyFont="1" applyBorder="1"/>
    <xf numFmtId="0" fontId="17" fillId="0" borderId="13" xfId="0" applyFont="1" applyBorder="1"/>
    <xf numFmtId="0" fontId="16" fillId="0" borderId="13" xfId="0" applyFont="1" applyBorder="1" applyAlignment="1">
      <alignment horizontal="center"/>
    </xf>
    <xf numFmtId="0" fontId="17" fillId="0" borderId="14" xfId="0" applyFont="1" applyBorder="1" applyAlignment="1">
      <alignment horizontal="center"/>
    </xf>
    <xf numFmtId="0" fontId="9" fillId="0" borderId="0" xfId="0" applyFont="1"/>
    <xf numFmtId="0" fontId="18" fillId="0" borderId="7" xfId="0" applyFont="1" applyBorder="1"/>
    <xf numFmtId="10" fontId="18" fillId="0" borderId="8" xfId="2" applyNumberFormat="1" applyFont="1" applyBorder="1" applyAlignment="1">
      <alignment horizontal="center"/>
    </xf>
    <xf numFmtId="8" fontId="8" fillId="0" borderId="0" xfId="0" applyNumberFormat="1" applyFont="1"/>
    <xf numFmtId="10" fontId="8" fillId="0" borderId="0" xfId="2" applyNumberFormat="1" applyFont="1"/>
    <xf numFmtId="166" fontId="8" fillId="0" borderId="0" xfId="0" applyNumberFormat="1" applyFont="1"/>
    <xf numFmtId="174" fontId="8" fillId="0" borderId="0" xfId="0" applyNumberFormat="1" applyFont="1"/>
    <xf numFmtId="0" fontId="17" fillId="0" borderId="18" xfId="0" applyFont="1" applyBorder="1"/>
    <xf numFmtId="0" fontId="12" fillId="0" borderId="19" xfId="3" applyFont="1" applyBorder="1" applyAlignment="1">
      <alignment horizontal="center"/>
    </xf>
    <xf numFmtId="0" fontId="12" fillId="0" borderId="20" xfId="3" applyFont="1" applyBorder="1" applyAlignment="1">
      <alignment horizontal="center" wrapText="1"/>
    </xf>
    <xf numFmtId="166" fontId="12" fillId="0" borderId="20" xfId="3" applyNumberFormat="1" applyFont="1" applyBorder="1" applyAlignment="1">
      <alignment horizontal="center"/>
    </xf>
    <xf numFmtId="1" fontId="12" fillId="0" borderId="20" xfId="3" applyNumberFormat="1" applyFont="1" applyBorder="1" applyAlignment="1">
      <alignment horizontal="center"/>
    </xf>
    <xf numFmtId="166" fontId="12" fillId="0" borderId="21" xfId="3" applyNumberFormat="1" applyFont="1" applyBorder="1" applyAlignment="1">
      <alignment horizontal="center"/>
    </xf>
    <xf numFmtId="166" fontId="10" fillId="0" borderId="5" xfId="3" applyNumberFormat="1" applyBorder="1" applyAlignment="1">
      <alignment horizontal="right"/>
    </xf>
    <xf numFmtId="49" fontId="17" fillId="0" borderId="6" xfId="0" applyNumberFormat="1" applyFont="1" applyBorder="1" applyAlignment="1">
      <alignment horizontal="center"/>
    </xf>
    <xf numFmtId="49" fontId="16" fillId="0" borderId="6" xfId="0" applyNumberFormat="1" applyFont="1" applyBorder="1" applyAlignment="1">
      <alignment horizontal="center"/>
    </xf>
    <xf numFmtId="0" fontId="12" fillId="0" borderId="39" xfId="3" applyFont="1" applyBorder="1" applyAlignment="1">
      <alignment horizontal="center"/>
    </xf>
    <xf numFmtId="166" fontId="12" fillId="0" borderId="39" xfId="3" applyNumberFormat="1" applyFont="1" applyBorder="1" applyAlignment="1">
      <alignment horizontal="center"/>
    </xf>
    <xf numFmtId="2" fontId="12" fillId="0" borderId="39" xfId="3" applyNumberFormat="1" applyFont="1" applyBorder="1" applyAlignment="1">
      <alignment horizontal="center"/>
    </xf>
    <xf numFmtId="0" fontId="12" fillId="0" borderId="42" xfId="3" applyFont="1" applyBorder="1"/>
    <xf numFmtId="0" fontId="12" fillId="0" borderId="43" xfId="3" applyFont="1" applyBorder="1" applyAlignment="1">
      <alignment horizontal="center"/>
    </xf>
    <xf numFmtId="2" fontId="12" fillId="0" borderId="43" xfId="3" applyNumberFormat="1" applyFont="1" applyBorder="1" applyAlignment="1">
      <alignment horizontal="center"/>
    </xf>
    <xf numFmtId="0" fontId="10" fillId="0" borderId="0" xfId="3"/>
    <xf numFmtId="170" fontId="8" fillId="0" borderId="0" xfId="0" applyNumberFormat="1" applyFont="1"/>
    <xf numFmtId="0" fontId="8" fillId="0" borderId="0" xfId="0" applyFont="1" applyAlignment="1">
      <alignment horizontal="right"/>
    </xf>
    <xf numFmtId="10" fontId="8" fillId="0" borderId="0" xfId="2" applyNumberFormat="1" applyFont="1" applyFill="1" applyBorder="1"/>
    <xf numFmtId="8" fontId="8" fillId="0" borderId="0" xfId="0" applyNumberFormat="1" applyFont="1" applyAlignment="1">
      <alignment horizontal="center"/>
    </xf>
    <xf numFmtId="8" fontId="50" fillId="0" borderId="0" xfId="0" applyNumberFormat="1" applyFont="1" applyAlignment="1">
      <alignment horizontal="center"/>
    </xf>
    <xf numFmtId="0" fontId="12" fillId="0" borderId="0" xfId="0" applyFont="1"/>
    <xf numFmtId="49" fontId="17" fillId="0" borderId="9" xfId="0" applyNumberFormat="1" applyFont="1" applyBorder="1" applyAlignment="1">
      <alignment horizontal="center"/>
    </xf>
    <xf numFmtId="170" fontId="12" fillId="0" borderId="0" xfId="3" applyNumberFormat="1" applyFont="1"/>
    <xf numFmtId="49" fontId="17" fillId="0" borderId="0" xfId="0" applyNumberFormat="1" applyFont="1" applyAlignment="1">
      <alignment horizontal="center"/>
    </xf>
    <xf numFmtId="9" fontId="18" fillId="0" borderId="0" xfId="0" applyNumberFormat="1" applyFont="1" applyAlignment="1">
      <alignment horizontal="center"/>
    </xf>
    <xf numFmtId="0" fontId="16" fillId="0" borderId="35" xfId="0" applyFont="1" applyBorder="1" applyAlignment="1">
      <alignment horizontal="center"/>
    </xf>
    <xf numFmtId="0" fontId="16" fillId="0" borderId="36" xfId="0" applyFont="1" applyBorder="1" applyAlignment="1">
      <alignment horizontal="center"/>
    </xf>
    <xf numFmtId="0" fontId="16" fillId="0" borderId="37" xfId="0" applyFont="1" applyBorder="1" applyAlignment="1">
      <alignment horizontal="center"/>
    </xf>
    <xf numFmtId="0" fontId="17" fillId="0" borderId="5" xfId="0" applyFont="1" applyBorder="1"/>
    <xf numFmtId="0" fontId="17" fillId="0" borderId="0" xfId="0" applyFont="1" applyAlignment="1">
      <alignment horizontal="center"/>
    </xf>
    <xf numFmtId="0" fontId="17" fillId="0" borderId="10" xfId="0" applyFont="1" applyBorder="1"/>
    <xf numFmtId="0" fontId="17" fillId="0" borderId="30" xfId="0" applyFont="1" applyBorder="1" applyAlignment="1">
      <alignment horizontal="center"/>
    </xf>
    <xf numFmtId="0" fontId="17" fillId="0" borderId="12" xfId="0" applyFont="1" applyBorder="1" applyAlignment="1">
      <alignment horizontal="center"/>
    </xf>
    <xf numFmtId="0" fontId="48" fillId="0" borderId="0" xfId="0" applyFont="1"/>
    <xf numFmtId="0" fontId="17" fillId="0" borderId="7" xfId="0" applyFont="1" applyBorder="1"/>
    <xf numFmtId="0" fontId="17" fillId="0" borderId="8" xfId="0" applyFont="1" applyBorder="1"/>
    <xf numFmtId="169" fontId="17" fillId="0" borderId="9" xfId="0" applyNumberFormat="1" applyFont="1" applyBorder="1" applyAlignment="1">
      <alignment horizontal="center"/>
    </xf>
    <xf numFmtId="169" fontId="17" fillId="0" borderId="0" xfId="0" applyNumberFormat="1" applyFont="1" applyAlignment="1">
      <alignment horizontal="center"/>
    </xf>
    <xf numFmtId="2" fontId="8" fillId="0" borderId="0" xfId="0" applyNumberFormat="1" applyFont="1"/>
    <xf numFmtId="2" fontId="8" fillId="0" borderId="0" xfId="0" applyNumberFormat="1" applyFont="1" applyAlignment="1">
      <alignment horizontal="center"/>
    </xf>
    <xf numFmtId="0" fontId="9" fillId="0" borderId="0" xfId="0" applyFont="1" applyAlignment="1">
      <alignment horizontal="center"/>
    </xf>
    <xf numFmtId="2" fontId="9" fillId="0" borderId="0" xfId="0" applyNumberFormat="1" applyFont="1" applyAlignment="1">
      <alignment horizontal="center"/>
    </xf>
    <xf numFmtId="44" fontId="8" fillId="0" borderId="0" xfId="1" applyFont="1" applyFill="1"/>
    <xf numFmtId="10" fontId="8" fillId="0" borderId="0" xfId="2" applyNumberFormat="1" applyFont="1" applyFill="1"/>
    <xf numFmtId="172" fontId="8" fillId="0" borderId="0" xfId="1" applyNumberFormat="1" applyFont="1" applyFill="1"/>
    <xf numFmtId="172" fontId="8" fillId="0" borderId="0" xfId="0" applyNumberFormat="1" applyFont="1"/>
    <xf numFmtId="173" fontId="8" fillId="0" borderId="0" xfId="0" applyNumberFormat="1" applyFont="1" applyAlignment="1">
      <alignment horizontal="center"/>
    </xf>
    <xf numFmtId="10" fontId="9" fillId="0" borderId="0" xfId="0" applyNumberFormat="1" applyFont="1" applyAlignment="1">
      <alignment horizontal="center"/>
    </xf>
    <xf numFmtId="0" fontId="9" fillId="0" borderId="2" xfId="0" applyFont="1" applyBorder="1"/>
    <xf numFmtId="0" fontId="9" fillId="0" borderId="3" xfId="0" applyFont="1" applyBorder="1"/>
    <xf numFmtId="0" fontId="8" fillId="0" borderId="3" xfId="0" applyFont="1" applyBorder="1"/>
    <xf numFmtId="0" fontId="9" fillId="0" borderId="5" xfId="3" applyFont="1" applyBorder="1" applyAlignment="1">
      <alignment horizontal="right"/>
    </xf>
    <xf numFmtId="16" fontId="9" fillId="0" borderId="0" xfId="3" quotePrefix="1" applyNumberFormat="1" applyFont="1" applyAlignment="1">
      <alignment horizontal="center"/>
    </xf>
    <xf numFmtId="166" fontId="9" fillId="0" borderId="0" xfId="3" applyNumberFormat="1" applyFont="1" applyAlignment="1">
      <alignment horizontal="center"/>
    </xf>
    <xf numFmtId="1" fontId="9" fillId="0" borderId="0" xfId="3" applyNumberFormat="1" applyFont="1" applyAlignment="1">
      <alignment horizontal="center"/>
    </xf>
    <xf numFmtId="3" fontId="9" fillId="0" borderId="6" xfId="3" applyNumberFormat="1" applyFont="1" applyBorder="1" applyAlignment="1">
      <alignment horizontal="center"/>
    </xf>
    <xf numFmtId="0" fontId="8" fillId="0" borderId="0" xfId="0" applyFont="1" applyAlignment="1">
      <alignment horizontal="left"/>
    </xf>
    <xf numFmtId="0" fontId="9" fillId="0" borderId="0" xfId="3" applyFont="1" applyAlignment="1">
      <alignment horizontal="center"/>
    </xf>
    <xf numFmtId="3" fontId="9" fillId="0" borderId="6" xfId="3" applyNumberFormat="1" applyFont="1" applyBorder="1"/>
    <xf numFmtId="166" fontId="9" fillId="0" borderId="20" xfId="3" applyNumberFormat="1" applyFont="1" applyBorder="1" applyAlignment="1">
      <alignment horizontal="center"/>
    </xf>
    <xf numFmtId="1" fontId="9" fillId="0" borderId="20" xfId="3" applyNumberFormat="1" applyFont="1" applyBorder="1" applyAlignment="1">
      <alignment horizontal="center"/>
    </xf>
    <xf numFmtId="166" fontId="9" fillId="0" borderId="21" xfId="3" applyNumberFormat="1" applyFont="1" applyBorder="1" applyAlignment="1">
      <alignment horizontal="center"/>
    </xf>
    <xf numFmtId="166" fontId="8" fillId="0" borderId="0" xfId="3" applyNumberFormat="1" applyFont="1" applyAlignment="1">
      <alignment horizontal="center"/>
    </xf>
    <xf numFmtId="2" fontId="8" fillId="0" borderId="0" xfId="3" applyNumberFormat="1" applyFont="1" applyAlignment="1">
      <alignment horizontal="center"/>
    </xf>
    <xf numFmtId="166" fontId="8" fillId="0" borderId="6" xfId="3" applyNumberFormat="1" applyFont="1" applyBorder="1"/>
    <xf numFmtId="2" fontId="9" fillId="0" borderId="0" xfId="3" applyNumberFormat="1" applyFont="1" applyAlignment="1">
      <alignment horizontal="center"/>
    </xf>
    <xf numFmtId="166" fontId="9" fillId="0" borderId="6" xfId="3" applyNumberFormat="1" applyFont="1" applyBorder="1"/>
    <xf numFmtId="0" fontId="8" fillId="0" borderId="5" xfId="3" applyFont="1" applyBorder="1"/>
    <xf numFmtId="0" fontId="8" fillId="0" borderId="0" xfId="3" applyFont="1" applyAlignment="1">
      <alignment horizontal="center"/>
    </xf>
    <xf numFmtId="10" fontId="8" fillId="0" borderId="0" xfId="3" applyNumberFormat="1" applyFont="1" applyAlignment="1">
      <alignment horizontal="center"/>
    </xf>
    <xf numFmtId="1" fontId="8" fillId="0" borderId="0" xfId="3" applyNumberFormat="1" applyFont="1" applyAlignment="1">
      <alignment horizontal="center"/>
    </xf>
    <xf numFmtId="0" fontId="9" fillId="0" borderId="25" xfId="3" applyFont="1" applyBorder="1"/>
    <xf numFmtId="0" fontId="9" fillId="0" borderId="26" xfId="3" applyFont="1" applyBorder="1" applyAlignment="1">
      <alignment horizontal="center"/>
    </xf>
    <xf numFmtId="169" fontId="9" fillId="0" borderId="26" xfId="3" applyNumberFormat="1" applyFont="1" applyBorder="1" applyAlignment="1">
      <alignment horizontal="center"/>
    </xf>
    <xf numFmtId="2" fontId="9" fillId="0" borderId="26" xfId="3" applyNumberFormat="1" applyFont="1" applyBorder="1" applyAlignment="1">
      <alignment horizontal="center"/>
    </xf>
    <xf numFmtId="166" fontId="9" fillId="0" borderId="27" xfId="3" applyNumberFormat="1" applyFont="1" applyBorder="1"/>
    <xf numFmtId="169" fontId="8" fillId="0" borderId="0" xfId="3" applyNumberFormat="1" applyFont="1" applyAlignment="1">
      <alignment horizontal="center"/>
    </xf>
    <xf numFmtId="8" fontId="9" fillId="0" borderId="0" xfId="0" applyNumberFormat="1" applyFont="1" applyAlignment="1">
      <alignment horizontal="center"/>
    </xf>
    <xf numFmtId="2" fontId="8" fillId="0" borderId="30" xfId="3" applyNumberFormat="1" applyFont="1" applyBorder="1" applyAlignment="1">
      <alignment horizontal="center"/>
    </xf>
    <xf numFmtId="166" fontId="8" fillId="0" borderId="12" xfId="3" applyNumberFormat="1" applyFont="1" applyBorder="1"/>
    <xf numFmtId="0" fontId="9" fillId="0" borderId="31" xfId="3" applyFont="1" applyBorder="1"/>
    <xf numFmtId="0" fontId="9" fillId="0" borderId="32" xfId="3" applyFont="1" applyBorder="1" applyAlignment="1">
      <alignment horizontal="center"/>
    </xf>
    <xf numFmtId="166" fontId="9" fillId="0" borderId="32" xfId="3" applyNumberFormat="1" applyFont="1" applyBorder="1" applyAlignment="1">
      <alignment horizontal="center"/>
    </xf>
    <xf numFmtId="166" fontId="8" fillId="0" borderId="28" xfId="3" applyNumberFormat="1" applyFont="1" applyBorder="1"/>
    <xf numFmtId="166" fontId="8" fillId="0" borderId="33" xfId="3" applyNumberFormat="1" applyFont="1" applyBorder="1"/>
    <xf numFmtId="0" fontId="9" fillId="0" borderId="5" xfId="0" applyFont="1" applyBorder="1"/>
    <xf numFmtId="166" fontId="8" fillId="0" borderId="16" xfId="3" applyNumberFormat="1" applyFont="1" applyBorder="1"/>
    <xf numFmtId="166" fontId="9" fillId="0" borderId="34" xfId="6" applyNumberFormat="1" applyFont="1" applyBorder="1"/>
    <xf numFmtId="0" fontId="9" fillId="0" borderId="5" xfId="3" applyFont="1" applyBorder="1"/>
    <xf numFmtId="0" fontId="9" fillId="0" borderId="0" xfId="3" applyFont="1"/>
    <xf numFmtId="166" fontId="9" fillId="0" borderId="0" xfId="3" applyNumberFormat="1" applyFont="1"/>
    <xf numFmtId="2" fontId="9" fillId="0" borderId="0" xfId="3" applyNumberFormat="1" applyFont="1"/>
    <xf numFmtId="170" fontId="9" fillId="4" borderId="4" xfId="3" applyNumberFormat="1" applyFont="1" applyFill="1" applyBorder="1"/>
    <xf numFmtId="0" fontId="8" fillId="0" borderId="0" xfId="3" applyFont="1"/>
    <xf numFmtId="0" fontId="9" fillId="0" borderId="3" xfId="3" applyFont="1" applyBorder="1"/>
    <xf numFmtId="171" fontId="8" fillId="0" borderId="0" xfId="3" applyNumberFormat="1" applyFont="1"/>
    <xf numFmtId="9" fontId="9" fillId="0" borderId="0" xfId="0" applyNumberFormat="1" applyFont="1" applyAlignment="1">
      <alignment horizontal="center"/>
    </xf>
    <xf numFmtId="166" fontId="8" fillId="0" borderId="0" xfId="3" applyNumberFormat="1" applyFont="1"/>
    <xf numFmtId="169" fontId="8" fillId="0" borderId="0" xfId="0" applyNumberFormat="1" applyFont="1" applyAlignment="1">
      <alignment horizontal="center"/>
    </xf>
    <xf numFmtId="0" fontId="51" fillId="0" borderId="0" xfId="0" applyFont="1"/>
    <xf numFmtId="0" fontId="18" fillId="0" borderId="5" xfId="3" applyFont="1" applyBorder="1" applyAlignment="1">
      <alignment horizontal="right"/>
    </xf>
    <xf numFmtId="16" fontId="18" fillId="0" borderId="0" xfId="3" quotePrefix="1" applyNumberFormat="1" applyFont="1" applyAlignment="1">
      <alignment horizontal="center"/>
    </xf>
    <xf numFmtId="166" fontId="18" fillId="0" borderId="0" xfId="3" applyNumberFormat="1" applyFont="1" applyAlignment="1">
      <alignment horizontal="center"/>
    </xf>
    <xf numFmtId="1" fontId="18" fillId="0" borderId="0" xfId="3" applyNumberFormat="1" applyFont="1" applyAlignment="1">
      <alignment horizontal="center"/>
    </xf>
    <xf numFmtId="3" fontId="18" fillId="0" borderId="6" xfId="3" applyNumberFormat="1" applyFont="1" applyBorder="1"/>
    <xf numFmtId="0" fontId="18" fillId="0" borderId="0" xfId="3" applyFont="1" applyAlignment="1">
      <alignment horizontal="center"/>
    </xf>
    <xf numFmtId="0" fontId="18" fillId="0" borderId="19" xfId="3" applyFont="1" applyBorder="1" applyAlignment="1">
      <alignment horizontal="center" vertical="center"/>
    </xf>
    <xf numFmtId="0" fontId="18" fillId="0" borderId="20" xfId="3" applyFont="1" applyBorder="1" applyAlignment="1">
      <alignment horizontal="center" vertical="center" wrapText="1"/>
    </xf>
    <xf numFmtId="166" fontId="18" fillId="0" borderId="20" xfId="3" applyNumberFormat="1" applyFont="1" applyBorder="1" applyAlignment="1">
      <alignment horizontal="center" vertical="center"/>
    </xf>
    <xf numFmtId="1" fontId="18" fillId="0" borderId="20" xfId="3" applyNumberFormat="1" applyFont="1" applyBorder="1" applyAlignment="1">
      <alignment horizontal="center" vertical="center"/>
    </xf>
    <xf numFmtId="166" fontId="18" fillId="0" borderId="21" xfId="3" applyNumberFormat="1" applyFont="1" applyBorder="1" applyAlignment="1">
      <alignment horizontal="center" vertical="center"/>
    </xf>
    <xf numFmtId="166" fontId="19" fillId="0" borderId="5" xfId="3" applyNumberFormat="1" applyFont="1" applyBorder="1" applyAlignment="1">
      <alignment horizontal="left"/>
    </xf>
    <xf numFmtId="167" fontId="19" fillId="0" borderId="0" xfId="4" quotePrefix="1" applyNumberFormat="1" applyFont="1" applyFill="1" applyBorder="1" applyAlignment="1">
      <alignment horizontal="center"/>
    </xf>
    <xf numFmtId="166" fontId="19" fillId="0" borderId="0" xfId="3" applyNumberFormat="1" applyFont="1" applyAlignment="1">
      <alignment horizontal="center"/>
    </xf>
    <xf numFmtId="2" fontId="19" fillId="0" borderId="0" xfId="3" applyNumberFormat="1" applyFont="1" applyAlignment="1">
      <alignment horizontal="center"/>
    </xf>
    <xf numFmtId="166" fontId="19" fillId="0" borderId="6" xfId="3" applyNumberFormat="1" applyFont="1" applyBorder="1"/>
    <xf numFmtId="0" fontId="19" fillId="0" borderId="5" xfId="3" applyFont="1" applyBorder="1" applyAlignment="1">
      <alignment horizontal="left"/>
    </xf>
    <xf numFmtId="0" fontId="18" fillId="0" borderId="22" xfId="3" applyFont="1" applyBorder="1"/>
    <xf numFmtId="0" fontId="18" fillId="0" borderId="23" xfId="3" applyFont="1" applyBorder="1" applyAlignment="1">
      <alignment horizontal="center"/>
    </xf>
    <xf numFmtId="166" fontId="18" fillId="0" borderId="23" xfId="3" applyNumberFormat="1" applyFont="1" applyBorder="1" applyAlignment="1">
      <alignment horizontal="center"/>
    </xf>
    <xf numFmtId="2" fontId="18" fillId="0" borderId="23" xfId="3" applyNumberFormat="1" applyFont="1" applyBorder="1" applyAlignment="1">
      <alignment horizontal="center"/>
    </xf>
    <xf numFmtId="166" fontId="18" fillId="0" borderId="24" xfId="3" applyNumberFormat="1" applyFont="1" applyBorder="1"/>
    <xf numFmtId="0" fontId="18" fillId="0" borderId="5" xfId="3" applyFont="1" applyBorder="1"/>
    <xf numFmtId="2" fontId="18" fillId="0" borderId="0" xfId="3" applyNumberFormat="1" applyFont="1" applyAlignment="1">
      <alignment horizontal="center"/>
    </xf>
    <xf numFmtId="166" fontId="18" fillId="0" borderId="6" xfId="3" applyNumberFormat="1" applyFont="1" applyBorder="1"/>
    <xf numFmtId="0" fontId="19" fillId="0" borderId="5" xfId="3" applyFont="1" applyBorder="1"/>
    <xf numFmtId="0" fontId="19" fillId="0" borderId="0" xfId="3" applyFont="1" applyAlignment="1">
      <alignment horizontal="center"/>
    </xf>
    <xf numFmtId="10" fontId="19" fillId="0" borderId="0" xfId="3" applyNumberFormat="1" applyFont="1" applyAlignment="1">
      <alignment horizontal="center"/>
    </xf>
    <xf numFmtId="1" fontId="19" fillId="0" borderId="0" xfId="3" applyNumberFormat="1" applyFont="1" applyAlignment="1">
      <alignment horizontal="center"/>
    </xf>
    <xf numFmtId="0" fontId="18" fillId="0" borderId="25" xfId="3" applyFont="1" applyBorder="1"/>
    <xf numFmtId="0" fontId="19" fillId="0" borderId="26" xfId="3" applyFont="1" applyBorder="1" applyAlignment="1">
      <alignment horizontal="center"/>
    </xf>
    <xf numFmtId="169" fontId="19" fillId="0" borderId="26" xfId="3" applyNumberFormat="1" applyFont="1" applyBorder="1" applyAlignment="1">
      <alignment horizontal="center"/>
    </xf>
    <xf numFmtId="2" fontId="19" fillId="0" borderId="26" xfId="3" applyNumberFormat="1" applyFont="1" applyBorder="1" applyAlignment="1">
      <alignment horizontal="center"/>
    </xf>
    <xf numFmtId="166" fontId="18" fillId="0" borderId="27" xfId="3" applyNumberFormat="1" applyFont="1" applyBorder="1"/>
    <xf numFmtId="169" fontId="19" fillId="0" borderId="0" xfId="3" applyNumberFormat="1" applyFont="1" applyAlignment="1">
      <alignment horizontal="center"/>
    </xf>
    <xf numFmtId="8" fontId="19" fillId="0" borderId="0" xfId="0" applyNumberFormat="1" applyFont="1" applyAlignment="1">
      <alignment horizontal="center"/>
    </xf>
    <xf numFmtId="166" fontId="18" fillId="0" borderId="28" xfId="3" applyNumberFormat="1" applyFont="1" applyBorder="1"/>
    <xf numFmtId="8" fontId="9" fillId="0" borderId="0" xfId="5" applyNumberFormat="1" applyFont="1" applyAlignment="1">
      <alignment horizontal="center"/>
    </xf>
    <xf numFmtId="2" fontId="18" fillId="0" borderId="29" xfId="3" applyNumberFormat="1" applyFont="1" applyBorder="1" applyAlignment="1">
      <alignment horizontal="center"/>
    </xf>
    <xf numFmtId="0" fontId="18" fillId="0" borderId="26" xfId="3" applyFont="1" applyBorder="1" applyAlignment="1">
      <alignment horizontal="center"/>
    </xf>
    <xf numFmtId="169" fontId="18" fillId="0" borderId="26" xfId="3" applyNumberFormat="1" applyFont="1" applyBorder="1" applyAlignment="1">
      <alignment horizontal="center"/>
    </xf>
    <xf numFmtId="2" fontId="18" fillId="0" borderId="26" xfId="3" applyNumberFormat="1" applyFont="1" applyBorder="1" applyAlignment="1">
      <alignment horizontal="center"/>
    </xf>
    <xf numFmtId="169" fontId="18" fillId="0" borderId="0" xfId="3" applyNumberFormat="1" applyFont="1" applyAlignment="1">
      <alignment horizontal="center"/>
    </xf>
    <xf numFmtId="166" fontId="18" fillId="0" borderId="26" xfId="3" applyNumberFormat="1" applyFont="1" applyBorder="1" applyAlignment="1">
      <alignment horizontal="center"/>
    </xf>
    <xf numFmtId="166" fontId="18" fillId="0" borderId="33" xfId="3" applyNumberFormat="1" applyFont="1" applyBorder="1"/>
    <xf numFmtId="166" fontId="19" fillId="0" borderId="27" xfId="3" applyNumberFormat="1" applyFont="1" applyBorder="1"/>
    <xf numFmtId="10" fontId="18" fillId="0" borderId="0" xfId="2" applyNumberFormat="1" applyFont="1" applyFill="1" applyBorder="1" applyAlignment="1">
      <alignment horizontal="center"/>
    </xf>
    <xf numFmtId="166" fontId="19" fillId="0" borderId="12" xfId="3" applyNumberFormat="1" applyFont="1" applyBorder="1"/>
    <xf numFmtId="0" fontId="52" fillId="0" borderId="0" xfId="3" applyFont="1" applyAlignment="1">
      <alignment horizontal="center"/>
    </xf>
    <xf numFmtId="2" fontId="52" fillId="0" borderId="0" xfId="3" applyNumberFormat="1" applyFont="1" applyAlignment="1">
      <alignment horizontal="center"/>
    </xf>
    <xf numFmtId="0" fontId="18" fillId="0" borderId="0" xfId="3" applyFont="1"/>
    <xf numFmtId="10" fontId="18" fillId="0" borderId="0" xfId="2" applyNumberFormat="1" applyFont="1" applyFill="1" applyBorder="1" applyAlignment="1"/>
    <xf numFmtId="2" fontId="18" fillId="0" borderId="0" xfId="3" applyNumberFormat="1" applyFont="1"/>
    <xf numFmtId="170" fontId="18" fillId="0" borderId="8" xfId="3" applyNumberFormat="1" applyFont="1" applyBorder="1" applyAlignment="1">
      <alignment horizontal="center"/>
    </xf>
    <xf numFmtId="10" fontId="18" fillId="0" borderId="8" xfId="2" applyNumberFormat="1" applyFont="1" applyFill="1" applyBorder="1" applyAlignment="1">
      <alignment horizontal="center"/>
    </xf>
    <xf numFmtId="170" fontId="18" fillId="4" borderId="9" xfId="3" applyNumberFormat="1" applyFont="1" applyFill="1" applyBorder="1"/>
    <xf numFmtId="8" fontId="9" fillId="0" borderId="0" xfId="0" applyNumberFormat="1" applyFont="1"/>
    <xf numFmtId="0" fontId="53" fillId="34" borderId="0" xfId="154" applyFont="1" applyFill="1"/>
    <xf numFmtId="0" fontId="53" fillId="35" borderId="0" xfId="154" applyFont="1" applyFill="1"/>
    <xf numFmtId="0" fontId="53" fillId="36" borderId="0" xfId="154" applyFont="1" applyFill="1"/>
    <xf numFmtId="0" fontId="53" fillId="37" borderId="0" xfId="154" applyFont="1" applyFill="1"/>
    <xf numFmtId="0" fontId="12" fillId="0" borderId="0" xfId="144" applyFont="1"/>
    <xf numFmtId="0" fontId="10" fillId="0" borderId="0" xfId="144"/>
    <xf numFmtId="0" fontId="54" fillId="0" borderId="0" xfId="144" applyFont="1"/>
    <xf numFmtId="0" fontId="55" fillId="0" borderId="0" xfId="144" applyFont="1"/>
    <xf numFmtId="0" fontId="10" fillId="0" borderId="59" xfId="144" applyBorder="1"/>
    <xf numFmtId="0" fontId="10" fillId="0" borderId="60" xfId="144" applyBorder="1"/>
    <xf numFmtId="0" fontId="10" fillId="0" borderId="61" xfId="144" applyBorder="1"/>
    <xf numFmtId="0" fontId="10" fillId="0" borderId="62" xfId="144" applyBorder="1"/>
    <xf numFmtId="0" fontId="12" fillId="0" borderId="0" xfId="144" applyFont="1" applyAlignment="1">
      <alignment horizontal="center"/>
    </xf>
    <xf numFmtId="0" fontId="10" fillId="0" borderId="63" xfId="144" applyBorder="1"/>
    <xf numFmtId="0" fontId="56" fillId="0" borderId="63" xfId="144" applyFont="1" applyBorder="1" applyAlignment="1">
      <alignment horizontal="center"/>
    </xf>
    <xf numFmtId="0" fontId="10" fillId="0" borderId="65" xfId="144" applyBorder="1"/>
    <xf numFmtId="171" fontId="10" fillId="0" borderId="63" xfId="144" applyNumberFormat="1" applyBorder="1" applyAlignment="1">
      <alignment horizontal="center"/>
    </xf>
    <xf numFmtId="0" fontId="10" fillId="0" borderId="63" xfId="144" applyBorder="1" applyAlignment="1">
      <alignment horizontal="center"/>
    </xf>
    <xf numFmtId="0" fontId="12" fillId="4" borderId="0" xfId="144" applyFont="1" applyFill="1" applyAlignment="1">
      <alignment horizontal="right"/>
    </xf>
    <xf numFmtId="0" fontId="10" fillId="0" borderId="67" xfId="144" applyBorder="1"/>
    <xf numFmtId="0" fontId="10" fillId="0" borderId="30" xfId="144" applyBorder="1"/>
    <xf numFmtId="0" fontId="10" fillId="0" borderId="68" xfId="144" applyBorder="1"/>
    <xf numFmtId="0" fontId="0" fillId="0" borderId="0" xfId="209" applyFont="1"/>
    <xf numFmtId="0" fontId="58" fillId="0" borderId="0" xfId="209" applyFont="1" applyAlignment="1">
      <alignment horizontal="center"/>
    </xf>
    <xf numFmtId="0" fontId="9" fillId="0" borderId="0" xfId="209" applyFont="1" applyAlignment="1">
      <alignment horizontal="center"/>
    </xf>
    <xf numFmtId="0" fontId="1" fillId="0" borderId="0" xfId="209"/>
    <xf numFmtId="0" fontId="1" fillId="0" borderId="0" xfId="209" applyAlignment="1">
      <alignment wrapText="1"/>
    </xf>
    <xf numFmtId="17" fontId="59" fillId="0" borderId="0" xfId="209" applyNumberFormat="1" applyFont="1" applyAlignment="1">
      <alignment horizontal="center"/>
    </xf>
    <xf numFmtId="0" fontId="60" fillId="0" borderId="0" xfId="209" applyFont="1" applyAlignment="1">
      <alignment horizontal="center"/>
    </xf>
    <xf numFmtId="0" fontId="3" fillId="0" borderId="0" xfId="209" applyFont="1" applyAlignment="1">
      <alignment horizontal="center"/>
    </xf>
    <xf numFmtId="176" fontId="60" fillId="0" borderId="0" xfId="209" applyNumberFormat="1" applyFont="1" applyAlignment="1">
      <alignment horizontal="left" vertical="top"/>
    </xf>
    <xf numFmtId="0" fontId="61" fillId="0" borderId="0" xfId="209" applyFont="1"/>
    <xf numFmtId="0" fontId="61" fillId="0" borderId="0" xfId="209" applyFont="1" applyAlignment="1">
      <alignment wrapText="1"/>
    </xf>
    <xf numFmtId="0" fontId="60" fillId="0" borderId="0" xfId="209" applyFont="1"/>
    <xf numFmtId="9" fontId="60" fillId="0" borderId="0" xfId="209" applyNumberFormat="1" applyFont="1" applyAlignment="1">
      <alignment horizontal="center" wrapText="1"/>
    </xf>
    <xf numFmtId="9" fontId="60" fillId="0" borderId="0" xfId="209" applyNumberFormat="1" applyFont="1" applyAlignment="1">
      <alignment horizontal="center"/>
    </xf>
    <xf numFmtId="0" fontId="60" fillId="0" borderId="0" xfId="209" applyFont="1" applyAlignment="1">
      <alignment horizontal="left" wrapText="1"/>
    </xf>
    <xf numFmtId="0" fontId="61" fillId="0" borderId="18" xfId="209" applyFont="1" applyBorder="1"/>
    <xf numFmtId="174" fontId="61" fillId="0" borderId="36" xfId="209" applyNumberFormat="1" applyFont="1" applyBorder="1" applyAlignment="1">
      <alignment horizontal="center"/>
    </xf>
    <xf numFmtId="9" fontId="61" fillId="0" borderId="36" xfId="177" applyFont="1" applyBorder="1" applyAlignment="1">
      <alignment horizontal="center"/>
    </xf>
    <xf numFmtId="174" fontId="1" fillId="0" borderId="69" xfId="209" applyNumberFormat="1" applyBorder="1"/>
    <xf numFmtId="174" fontId="1" fillId="0" borderId="0" xfId="209" applyNumberFormat="1"/>
    <xf numFmtId="0" fontId="61" fillId="0" borderId="7" xfId="209" applyFont="1" applyBorder="1"/>
    <xf numFmtId="164" fontId="61" fillId="0" borderId="8" xfId="209" applyNumberFormat="1" applyFont="1" applyBorder="1" applyAlignment="1">
      <alignment horizontal="center"/>
    </xf>
    <xf numFmtId="9" fontId="61" fillId="0" borderId="43" xfId="177" applyFont="1" applyBorder="1" applyAlignment="1">
      <alignment horizontal="center"/>
    </xf>
    <xf numFmtId="164" fontId="1" fillId="0" borderId="70" xfId="209" applyNumberFormat="1" applyBorder="1"/>
    <xf numFmtId="0" fontId="61" fillId="0" borderId="13" xfId="209" applyFont="1" applyBorder="1"/>
    <xf numFmtId="0" fontId="61" fillId="0" borderId="5" xfId="209" applyFont="1" applyBorder="1"/>
    <xf numFmtId="164" fontId="61" fillId="0" borderId="0" xfId="209" applyNumberFormat="1" applyFont="1" applyAlignment="1">
      <alignment horizontal="center"/>
    </xf>
    <xf numFmtId="9" fontId="61" fillId="0" borderId="60" xfId="177" applyFont="1" applyBorder="1" applyAlignment="1">
      <alignment horizontal="center"/>
    </xf>
    <xf numFmtId="174" fontId="57" fillId="0" borderId="0" xfId="209" applyNumberFormat="1" applyFont="1"/>
    <xf numFmtId="0" fontId="61" fillId="0" borderId="8" xfId="209" applyFont="1" applyBorder="1"/>
    <xf numFmtId="0" fontId="61" fillId="0" borderId="18" xfId="209" applyFont="1" applyBorder="1" applyAlignment="1">
      <alignment wrapText="1"/>
    </xf>
    <xf numFmtId="0" fontId="61" fillId="0" borderId="7" xfId="209" applyFont="1" applyBorder="1" applyAlignment="1">
      <alignment wrapText="1"/>
    </xf>
    <xf numFmtId="164" fontId="1" fillId="0" borderId="71" xfId="209" applyNumberFormat="1" applyBorder="1"/>
    <xf numFmtId="174" fontId="61" fillId="0" borderId="13" xfId="209" applyNumberFormat="1" applyFont="1" applyBorder="1" applyAlignment="1">
      <alignment horizontal="center"/>
    </xf>
    <xf numFmtId="164" fontId="61" fillId="0" borderId="13" xfId="209" applyNumberFormat="1" applyFont="1" applyBorder="1" applyAlignment="1">
      <alignment horizontal="center"/>
    </xf>
    <xf numFmtId="9" fontId="61" fillId="0" borderId="13" xfId="177" applyFont="1" applyBorder="1" applyAlignment="1">
      <alignment horizontal="center"/>
    </xf>
    <xf numFmtId="9" fontId="61" fillId="0" borderId="8" xfId="177" applyFont="1" applyBorder="1" applyAlignment="1">
      <alignment horizontal="center"/>
    </xf>
    <xf numFmtId="174" fontId="61" fillId="0" borderId="0" xfId="209" applyNumberFormat="1" applyFont="1" applyAlignment="1">
      <alignment horizontal="center"/>
    </xf>
    <xf numFmtId="9" fontId="61" fillId="0" borderId="0" xfId="177" applyFont="1" applyFill="1" applyBorder="1" applyAlignment="1">
      <alignment horizontal="center"/>
    </xf>
    <xf numFmtId="9" fontId="61" fillId="0" borderId="8" xfId="177" applyFont="1" applyFill="1" applyBorder="1" applyAlignment="1">
      <alignment horizontal="center"/>
    </xf>
    <xf numFmtId="9" fontId="61" fillId="0" borderId="0" xfId="177" applyFont="1" applyBorder="1" applyAlignment="1">
      <alignment horizontal="center"/>
    </xf>
    <xf numFmtId="174" fontId="1" fillId="0" borderId="71" xfId="209" applyNumberFormat="1" applyBorder="1"/>
    <xf numFmtId="0" fontId="63" fillId="0" borderId="0" xfId="209" applyFont="1" applyAlignment="1">
      <alignment horizontal="right" wrapText="1"/>
    </xf>
    <xf numFmtId="164" fontId="63" fillId="0" borderId="0" xfId="209" applyNumberFormat="1" applyFont="1"/>
    <xf numFmtId="0" fontId="63" fillId="0" borderId="0" xfId="209" applyFont="1"/>
    <xf numFmtId="0" fontId="63" fillId="0" borderId="0" xfId="209" applyFont="1" applyAlignment="1">
      <alignment wrapText="1"/>
    </xf>
    <xf numFmtId="0" fontId="63" fillId="0" borderId="0" xfId="209" applyFont="1" applyAlignment="1">
      <alignment horizontal="right"/>
    </xf>
    <xf numFmtId="10" fontId="63" fillId="0" borderId="0" xfId="2" applyNumberFormat="1" applyFont="1"/>
    <xf numFmtId="9" fontId="63" fillId="0" borderId="0" xfId="2" applyFont="1"/>
    <xf numFmtId="0" fontId="1" fillId="4" borderId="0" xfId="209" applyFill="1" applyAlignment="1">
      <alignment horizontal="right"/>
    </xf>
    <xf numFmtId="164" fontId="1" fillId="4" borderId="0" xfId="209" applyNumberFormat="1" applyFill="1"/>
    <xf numFmtId="0" fontId="1" fillId="4" borderId="0" xfId="209" applyFill="1"/>
    <xf numFmtId="164" fontId="1" fillId="0" borderId="0" xfId="209" applyNumberFormat="1"/>
    <xf numFmtId="0" fontId="10" fillId="0" borderId="62" xfId="144" applyBorder="1" applyAlignment="1">
      <alignment horizontal="right"/>
    </xf>
    <xf numFmtId="0" fontId="10" fillId="0" borderId="0" xfId="144" applyAlignment="1">
      <alignment horizontal="right"/>
    </xf>
    <xf numFmtId="0" fontId="9" fillId="0" borderId="0" xfId="0" applyFont="1" applyAlignment="1">
      <alignment horizontal="left"/>
    </xf>
    <xf numFmtId="0" fontId="11" fillId="33" borderId="13" xfId="211" applyFont="1" applyFill="1" applyBorder="1"/>
    <xf numFmtId="0" fontId="13" fillId="33" borderId="14" xfId="211" applyFont="1" applyFill="1" applyBorder="1"/>
    <xf numFmtId="0" fontId="64" fillId="0" borderId="0" xfId="211"/>
    <xf numFmtId="0" fontId="13" fillId="33" borderId="0" xfId="211" applyFont="1" applyFill="1"/>
    <xf numFmtId="0" fontId="12" fillId="33" borderId="6" xfId="211" applyFont="1" applyFill="1" applyBorder="1"/>
    <xf numFmtId="0" fontId="18" fillId="33" borderId="8" xfId="211" applyFont="1" applyFill="1" applyBorder="1"/>
    <xf numFmtId="0" fontId="12" fillId="33" borderId="9" xfId="211" applyFont="1" applyFill="1" applyBorder="1"/>
    <xf numFmtId="0" fontId="12" fillId="0" borderId="0" xfId="211" applyFont="1"/>
    <xf numFmtId="0" fontId="53" fillId="38" borderId="0" xfId="211" applyFont="1" applyFill="1" applyAlignment="1">
      <alignment horizontal="center"/>
    </xf>
    <xf numFmtId="0" fontId="53" fillId="39" borderId="0" xfId="211" applyFont="1" applyFill="1" applyAlignment="1">
      <alignment horizontal="center"/>
    </xf>
    <xf numFmtId="14" fontId="12" fillId="0" borderId="0" xfId="211" applyNumberFormat="1" applyFont="1"/>
    <xf numFmtId="171" fontId="64" fillId="0" borderId="0" xfId="211" applyNumberFormat="1"/>
    <xf numFmtId="2" fontId="64" fillId="0" borderId="0" xfId="211" applyNumberFormat="1"/>
    <xf numFmtId="14" fontId="12" fillId="0" borderId="0" xfId="211" applyNumberFormat="1" applyFont="1" applyAlignment="1">
      <alignment horizontal="center"/>
    </xf>
    <xf numFmtId="168" fontId="64" fillId="0" borderId="0" xfId="211" applyNumberFormat="1"/>
    <xf numFmtId="171" fontId="64" fillId="0" borderId="64" xfId="211" applyNumberFormat="1" applyBorder="1"/>
    <xf numFmtId="171" fontId="12" fillId="0" borderId="0" xfId="211" applyNumberFormat="1" applyFont="1" applyAlignment="1">
      <alignment horizontal="center"/>
    </xf>
    <xf numFmtId="171" fontId="64" fillId="0" borderId="66" xfId="211" applyNumberFormat="1" applyBorder="1"/>
    <xf numFmtId="10" fontId="12" fillId="4" borderId="63" xfId="177" applyNumberFormat="1" applyFont="1" applyFill="1" applyBorder="1" applyAlignment="1">
      <alignment horizontal="center"/>
    </xf>
    <xf numFmtId="0" fontId="50" fillId="0" borderId="0" xfId="0" applyFont="1"/>
    <xf numFmtId="0" fontId="14" fillId="0" borderId="0" xfId="3" applyFont="1"/>
    <xf numFmtId="0" fontId="17" fillId="0" borderId="20" xfId="0" applyFont="1" applyBorder="1" applyAlignment="1">
      <alignment horizontal="left"/>
    </xf>
    <xf numFmtId="6" fontId="17" fillId="0" borderId="20" xfId="0" applyNumberFormat="1" applyFont="1" applyBorder="1" applyAlignment="1">
      <alignment horizontal="center"/>
    </xf>
    <xf numFmtId="10" fontId="17" fillId="0" borderId="20" xfId="0" applyNumberFormat="1" applyFont="1" applyBorder="1" applyAlignment="1">
      <alignment horizontal="center"/>
    </xf>
    <xf numFmtId="9" fontId="17" fillId="0" borderId="20" xfId="0" applyNumberFormat="1" applyFont="1" applyBorder="1" applyAlignment="1">
      <alignment horizontal="center"/>
    </xf>
    <xf numFmtId="0" fontId="17" fillId="0" borderId="72" xfId="0" applyFont="1" applyBorder="1" applyAlignment="1">
      <alignment horizontal="left"/>
    </xf>
    <xf numFmtId="0" fontId="12" fillId="40" borderId="5" xfId="3" applyFont="1" applyFill="1" applyBorder="1" applyAlignment="1">
      <alignment horizontal="right"/>
    </xf>
    <xf numFmtId="16" fontId="12" fillId="40" borderId="0" xfId="3" quotePrefix="1" applyNumberFormat="1" applyFont="1" applyFill="1" applyAlignment="1">
      <alignment horizontal="center"/>
    </xf>
    <xf numFmtId="166" fontId="12" fillId="40" borderId="0" xfId="3" applyNumberFormat="1" applyFont="1" applyFill="1" applyAlignment="1">
      <alignment horizontal="center"/>
    </xf>
    <xf numFmtId="1" fontId="12" fillId="40" borderId="0" xfId="3" applyNumberFormat="1" applyFont="1" applyFill="1" applyAlignment="1">
      <alignment horizontal="center"/>
    </xf>
    <xf numFmtId="3" fontId="12" fillId="40" borderId="6" xfId="3" applyNumberFormat="1" applyFont="1" applyFill="1" applyBorder="1"/>
    <xf numFmtId="0" fontId="12" fillId="40" borderId="0" xfId="3" applyFont="1" applyFill="1" applyAlignment="1">
      <alignment horizontal="center"/>
    </xf>
    <xf numFmtId="0" fontId="12" fillId="40" borderId="19" xfId="3" applyFont="1" applyFill="1" applyBorder="1" applyAlignment="1">
      <alignment horizontal="center"/>
    </xf>
    <xf numFmtId="0" fontId="12" fillId="40" borderId="20" xfId="3" applyFont="1" applyFill="1" applyBorder="1" applyAlignment="1">
      <alignment horizontal="center" wrapText="1"/>
    </xf>
    <xf numFmtId="166" fontId="12" fillId="40" borderId="20" xfId="3" applyNumberFormat="1" applyFont="1" applyFill="1" applyBorder="1" applyAlignment="1">
      <alignment horizontal="center"/>
    </xf>
    <xf numFmtId="1" fontId="12" fillId="40" borderId="20" xfId="3" applyNumberFormat="1" applyFont="1" applyFill="1" applyBorder="1" applyAlignment="1">
      <alignment horizontal="center"/>
    </xf>
    <xf numFmtId="166" fontId="12" fillId="40" borderId="21" xfId="3" applyNumberFormat="1" applyFont="1" applyFill="1" applyBorder="1" applyAlignment="1">
      <alignment horizontal="center"/>
    </xf>
    <xf numFmtId="166" fontId="10" fillId="40" borderId="5" xfId="3" applyNumberFormat="1" applyFill="1" applyBorder="1" applyAlignment="1">
      <alignment horizontal="right"/>
    </xf>
    <xf numFmtId="167" fontId="10" fillId="40" borderId="0" xfId="4" quotePrefix="1" applyNumberFormat="1" applyFont="1" applyFill="1" applyBorder="1" applyAlignment="1">
      <alignment horizontal="center"/>
    </xf>
    <xf numFmtId="166" fontId="10" fillId="40" borderId="0" xfId="3" applyNumberFormat="1" applyFill="1" applyAlignment="1">
      <alignment horizontal="center"/>
    </xf>
    <xf numFmtId="2" fontId="10" fillId="40" borderId="0" xfId="3" applyNumberFormat="1" applyFill="1" applyAlignment="1">
      <alignment horizontal="center"/>
    </xf>
    <xf numFmtId="166" fontId="10" fillId="40" borderId="6" xfId="3" applyNumberFormat="1" applyFill="1" applyBorder="1"/>
    <xf numFmtId="0" fontId="10" fillId="40" borderId="5" xfId="3" applyFill="1" applyBorder="1" applyAlignment="1">
      <alignment horizontal="right"/>
    </xf>
    <xf numFmtId="168" fontId="10" fillId="40" borderId="5" xfId="3" applyNumberFormat="1" applyFill="1" applyBorder="1" applyAlignment="1">
      <alignment horizontal="right"/>
    </xf>
    <xf numFmtId="0" fontId="12" fillId="40" borderId="22" xfId="3" applyFont="1" applyFill="1" applyBorder="1"/>
    <xf numFmtId="0" fontId="12" fillId="40" borderId="23" xfId="3" applyFont="1" applyFill="1" applyBorder="1" applyAlignment="1">
      <alignment horizontal="center"/>
    </xf>
    <xf numFmtId="166" fontId="12" fillId="40" borderId="23" xfId="3" applyNumberFormat="1" applyFont="1" applyFill="1" applyBorder="1" applyAlignment="1">
      <alignment horizontal="center"/>
    </xf>
    <xf numFmtId="2" fontId="12" fillId="40" borderId="23" xfId="3" applyNumberFormat="1" applyFont="1" applyFill="1" applyBorder="1" applyAlignment="1">
      <alignment horizontal="center"/>
    </xf>
    <xf numFmtId="166" fontId="12" fillId="40" borderId="24" xfId="3" applyNumberFormat="1" applyFont="1" applyFill="1" applyBorder="1"/>
    <xf numFmtId="0" fontId="13" fillId="40" borderId="5" xfId="3" applyFont="1" applyFill="1" applyBorder="1"/>
    <xf numFmtId="2" fontId="12" fillId="40" borderId="0" xfId="3" applyNumberFormat="1" applyFont="1" applyFill="1" applyAlignment="1">
      <alignment horizontal="center"/>
    </xf>
    <xf numFmtId="166" fontId="12" fillId="40" borderId="6" xfId="3" applyNumberFormat="1" applyFont="1" applyFill="1" applyBorder="1"/>
    <xf numFmtId="0" fontId="10" fillId="40" borderId="5" xfId="3" applyFill="1" applyBorder="1"/>
    <xf numFmtId="0" fontId="10" fillId="40" borderId="0" xfId="3" applyFill="1" applyAlignment="1">
      <alignment horizontal="center"/>
    </xf>
    <xf numFmtId="10" fontId="10" fillId="40" borderId="0" xfId="3" applyNumberFormat="1" applyFill="1" applyAlignment="1">
      <alignment horizontal="center"/>
    </xf>
    <xf numFmtId="1" fontId="10" fillId="40" borderId="0" xfId="3" applyNumberFormat="1" applyFill="1" applyAlignment="1">
      <alignment horizontal="center"/>
    </xf>
    <xf numFmtId="169" fontId="12" fillId="40" borderId="23" xfId="3" applyNumberFormat="1" applyFont="1" applyFill="1" applyBorder="1" applyAlignment="1">
      <alignment horizontal="center"/>
    </xf>
    <xf numFmtId="169" fontId="10" fillId="40" borderId="0" xfId="3" applyNumberFormat="1" applyFill="1" applyAlignment="1">
      <alignment horizontal="center"/>
    </xf>
    <xf numFmtId="0" fontId="12" fillId="40" borderId="5" xfId="3" applyFont="1" applyFill="1" applyBorder="1"/>
    <xf numFmtId="10" fontId="10" fillId="40" borderId="30" xfId="2" applyNumberFormat="1" applyFont="1" applyFill="1" applyBorder="1" applyAlignment="1">
      <alignment horizontal="center"/>
    </xf>
    <xf numFmtId="166" fontId="10" fillId="40" borderId="12" xfId="3" applyNumberFormat="1" applyFill="1" applyBorder="1"/>
    <xf numFmtId="2" fontId="12" fillId="40" borderId="29" xfId="3" applyNumberFormat="1" applyFont="1" applyFill="1" applyBorder="1" applyAlignment="1">
      <alignment horizontal="center"/>
    </xf>
    <xf numFmtId="169" fontId="12" fillId="40" borderId="0" xfId="3" applyNumberFormat="1" applyFont="1" applyFill="1" applyAlignment="1">
      <alignment horizontal="center"/>
    </xf>
    <xf numFmtId="0" fontId="12" fillId="40" borderId="38" xfId="3" applyFont="1" applyFill="1" applyBorder="1"/>
    <xf numFmtId="0" fontId="12" fillId="40" borderId="39" xfId="3" applyFont="1" applyFill="1" applyBorder="1" applyAlignment="1">
      <alignment horizontal="center"/>
    </xf>
    <xf numFmtId="166" fontId="12" fillId="40" borderId="39" xfId="3" applyNumberFormat="1" applyFont="1" applyFill="1" applyBorder="1" applyAlignment="1">
      <alignment horizontal="center"/>
    </xf>
    <xf numFmtId="2" fontId="12" fillId="40" borderId="39" xfId="3" applyNumberFormat="1" applyFont="1" applyFill="1" applyBorder="1" applyAlignment="1">
      <alignment horizontal="center"/>
    </xf>
    <xf numFmtId="166" fontId="12" fillId="40" borderId="40" xfId="3" applyNumberFormat="1" applyFont="1" applyFill="1" applyBorder="1"/>
    <xf numFmtId="0" fontId="12" fillId="40" borderId="0" xfId="3" applyFont="1" applyFill="1"/>
    <xf numFmtId="10" fontId="12" fillId="40" borderId="0" xfId="2" applyNumberFormat="1" applyFont="1" applyFill="1" applyBorder="1" applyAlignment="1">
      <alignment horizontal="center"/>
    </xf>
    <xf numFmtId="2" fontId="12" fillId="40" borderId="0" xfId="3" applyNumberFormat="1" applyFont="1" applyFill="1"/>
    <xf numFmtId="166" fontId="12" fillId="40" borderId="41" xfId="3" applyNumberFormat="1" applyFont="1" applyFill="1" applyBorder="1"/>
    <xf numFmtId="170" fontId="12" fillId="40" borderId="6" xfId="3" applyNumberFormat="1" applyFont="1" applyFill="1" applyBorder="1"/>
    <xf numFmtId="0" fontId="18" fillId="40" borderId="10" xfId="0" applyFont="1" applyFill="1" applyBorder="1"/>
    <xf numFmtId="0" fontId="19" fillId="40" borderId="30" xfId="0" applyFont="1" applyFill="1" applyBorder="1"/>
    <xf numFmtId="9" fontId="18" fillId="40" borderId="30" xfId="0" applyNumberFormat="1" applyFont="1" applyFill="1" applyBorder="1" applyAlignment="1">
      <alignment horizontal="center"/>
    </xf>
    <xf numFmtId="0" fontId="12" fillId="40" borderId="30" xfId="3" applyFont="1" applyFill="1" applyBorder="1"/>
    <xf numFmtId="0" fontId="8" fillId="40" borderId="12" xfId="0" applyFont="1" applyFill="1" applyBorder="1"/>
    <xf numFmtId="0" fontId="18" fillId="40" borderId="7" xfId="0" applyFont="1" applyFill="1" applyBorder="1"/>
    <xf numFmtId="0" fontId="19" fillId="40" borderId="8" xfId="0" applyFont="1" applyFill="1" applyBorder="1"/>
    <xf numFmtId="9" fontId="18" fillId="40" borderId="8" xfId="0" applyNumberFormat="1" applyFont="1" applyFill="1" applyBorder="1" applyAlignment="1">
      <alignment horizontal="center"/>
    </xf>
    <xf numFmtId="170" fontId="20" fillId="40" borderId="9" xfId="3" applyNumberFormat="1" applyFont="1" applyFill="1" applyBorder="1"/>
    <xf numFmtId="0" fontId="8" fillId="40" borderId="0" xfId="0" applyFont="1" applyFill="1"/>
    <xf numFmtId="0" fontId="8" fillId="40" borderId="0" xfId="0" applyFont="1" applyFill="1" applyAlignment="1">
      <alignment horizontal="center"/>
    </xf>
    <xf numFmtId="0" fontId="10" fillId="40" borderId="0" xfId="3" applyFill="1"/>
    <xf numFmtId="170" fontId="8" fillId="40" borderId="0" xfId="0" applyNumberFormat="1" applyFont="1" applyFill="1"/>
    <xf numFmtId="0" fontId="8" fillId="40" borderId="0" xfId="0" applyFont="1" applyFill="1" applyAlignment="1">
      <alignment horizontal="right"/>
    </xf>
    <xf numFmtId="10" fontId="8" fillId="40" borderId="0" xfId="2" applyNumberFormat="1" applyFont="1" applyFill="1" applyBorder="1"/>
    <xf numFmtId="0" fontId="17" fillId="0" borderId="19" xfId="0" applyFont="1" applyBorder="1" applyAlignment="1">
      <alignment horizontal="left"/>
    </xf>
    <xf numFmtId="0" fontId="17" fillId="0" borderId="73" xfId="0" applyFont="1" applyBorder="1" applyAlignment="1">
      <alignment horizontal="left"/>
    </xf>
    <xf numFmtId="2" fontId="10" fillId="0" borderId="0" xfId="3" applyNumberFormat="1"/>
    <xf numFmtId="8" fontId="8" fillId="0" borderId="0" xfId="1" applyNumberFormat="1" applyFont="1" applyFill="1" applyBorder="1" applyAlignment="1">
      <alignment horizontal="center"/>
    </xf>
    <xf numFmtId="167" fontId="10" fillId="0" borderId="0" xfId="4" quotePrefix="1" applyNumberFormat="1" applyFill="1" applyBorder="1" applyAlignment="1">
      <alignment horizontal="center"/>
    </xf>
    <xf numFmtId="167" fontId="10" fillId="0" borderId="0" xfId="3" applyNumberFormat="1" applyAlignment="1">
      <alignment horizontal="center"/>
    </xf>
    <xf numFmtId="170" fontId="8" fillId="0" borderId="6" xfId="3" applyNumberFormat="1" applyFont="1" applyBorder="1"/>
    <xf numFmtId="0" fontId="9" fillId="0" borderId="2" xfId="3" applyFont="1" applyBorder="1"/>
    <xf numFmtId="0" fontId="8" fillId="0" borderId="3" xfId="3" applyFont="1" applyBorder="1" applyAlignment="1">
      <alignment horizontal="center"/>
    </xf>
    <xf numFmtId="169" fontId="8" fillId="0" borderId="3" xfId="3" applyNumberFormat="1" applyFont="1" applyBorder="1" applyAlignment="1">
      <alignment horizontal="center"/>
    </xf>
    <xf numFmtId="1" fontId="9" fillId="0" borderId="3" xfId="3" applyNumberFormat="1" applyFont="1" applyBorder="1" applyAlignment="1">
      <alignment horizontal="center"/>
    </xf>
    <xf numFmtId="166" fontId="8" fillId="0" borderId="4" xfId="3" applyNumberFormat="1" applyFont="1" applyBorder="1"/>
    <xf numFmtId="0" fontId="9" fillId="0" borderId="3" xfId="3" applyFont="1" applyBorder="1" applyAlignment="1">
      <alignment horizontal="center"/>
    </xf>
    <xf numFmtId="166" fontId="9" fillId="0" borderId="3" xfId="3" applyNumberFormat="1" applyFont="1" applyBorder="1" applyAlignment="1">
      <alignment horizontal="center"/>
    </xf>
    <xf numFmtId="2" fontId="9" fillId="0" borderId="3" xfId="3" applyNumberFormat="1" applyFont="1" applyBorder="1" applyAlignment="1">
      <alignment horizontal="center"/>
    </xf>
    <xf numFmtId="166" fontId="9" fillId="0" borderId="4" xfId="3" applyNumberFormat="1" applyFont="1" applyBorder="1"/>
    <xf numFmtId="169" fontId="9" fillId="0" borderId="3" xfId="3" applyNumberFormat="1" applyFont="1" applyBorder="1" applyAlignment="1">
      <alignment horizontal="center"/>
    </xf>
    <xf numFmtId="169" fontId="9" fillId="0" borderId="32" xfId="3" applyNumberFormat="1" applyFont="1" applyBorder="1" applyAlignment="1">
      <alignment horizontal="center"/>
    </xf>
    <xf numFmtId="2" fontId="9" fillId="0" borderId="32" xfId="3" applyNumberFormat="1" applyFont="1" applyBorder="1" applyAlignment="1">
      <alignment horizontal="center"/>
    </xf>
    <xf numFmtId="166" fontId="9" fillId="0" borderId="83" xfId="3" applyNumberFormat="1" applyFont="1" applyBorder="1"/>
    <xf numFmtId="174" fontId="10" fillId="0" borderId="0" xfId="3" applyNumberFormat="1" applyAlignment="1">
      <alignment horizontal="center"/>
    </xf>
    <xf numFmtId="0" fontId="12" fillId="0" borderId="2" xfId="3" applyFont="1" applyBorder="1"/>
    <xf numFmtId="0" fontId="12" fillId="0" borderId="3" xfId="3" applyFont="1" applyBorder="1" applyAlignment="1">
      <alignment horizontal="center"/>
    </xf>
    <xf numFmtId="169" fontId="12" fillId="0" borderId="3" xfId="3" applyNumberFormat="1" applyFont="1" applyBorder="1" applyAlignment="1">
      <alignment horizontal="center"/>
    </xf>
    <xf numFmtId="2" fontId="12" fillId="0" borderId="3" xfId="3" applyNumberFormat="1" applyFont="1" applyBorder="1" applyAlignment="1">
      <alignment horizontal="center"/>
    </xf>
    <xf numFmtId="166" fontId="12" fillId="0" borderId="4" xfId="3" applyNumberFormat="1" applyFont="1" applyBorder="1"/>
    <xf numFmtId="166" fontId="12" fillId="0" borderId="3" xfId="3" applyNumberFormat="1" applyFont="1" applyBorder="1" applyAlignment="1">
      <alignment horizontal="center"/>
    </xf>
    <xf numFmtId="166" fontId="10" fillId="0" borderId="4" xfId="3" applyNumberFormat="1" applyBorder="1"/>
    <xf numFmtId="10" fontId="12" fillId="0" borderId="3" xfId="2" applyNumberFormat="1" applyFont="1" applyFill="1" applyBorder="1" applyAlignment="1">
      <alignment horizontal="center"/>
    </xf>
    <xf numFmtId="170" fontId="10" fillId="0" borderId="4" xfId="3" applyNumberFormat="1" applyBorder="1"/>
    <xf numFmtId="0" fontId="10" fillId="0" borderId="38" xfId="3" applyBorder="1"/>
    <xf numFmtId="0" fontId="16" fillId="0" borderId="14" xfId="0" applyFont="1" applyBorder="1" applyAlignment="1">
      <alignment horizontal="center"/>
    </xf>
    <xf numFmtId="10" fontId="17" fillId="0" borderId="21" xfId="0" applyNumberFormat="1" applyFont="1" applyBorder="1" applyAlignment="1">
      <alignment horizontal="center"/>
    </xf>
    <xf numFmtId="9" fontId="17" fillId="0" borderId="21" xfId="0" applyNumberFormat="1" applyFont="1" applyBorder="1" applyAlignment="1">
      <alignment horizontal="center"/>
    </xf>
    <xf numFmtId="10" fontId="17" fillId="0" borderId="28" xfId="0" applyNumberFormat="1" applyFont="1" applyBorder="1" applyAlignment="1">
      <alignment horizontal="center"/>
    </xf>
    <xf numFmtId="0" fontId="8" fillId="0" borderId="6" xfId="0" applyFont="1" applyBorder="1" applyAlignment="1">
      <alignment horizontal="center"/>
    </xf>
    <xf numFmtId="0" fontId="17" fillId="0" borderId="0" xfId="0" applyFont="1"/>
    <xf numFmtId="165" fontId="8" fillId="0" borderId="0" xfId="1" applyNumberFormat="1" applyFont="1" applyFill="1"/>
    <xf numFmtId="1" fontId="8" fillId="0" borderId="0" xfId="0" applyNumberFormat="1" applyFont="1" applyAlignment="1">
      <alignment horizontal="center"/>
    </xf>
    <xf numFmtId="166" fontId="8" fillId="0" borderId="0" xfId="0" applyNumberFormat="1" applyFont="1" applyAlignment="1">
      <alignment horizontal="center"/>
    </xf>
    <xf numFmtId="165" fontId="0" fillId="4" borderId="0" xfId="0" applyNumberFormat="1" applyFill="1"/>
    <xf numFmtId="10" fontId="17" fillId="0" borderId="43" xfId="0" applyNumberFormat="1" applyFont="1" applyBorder="1" applyAlignment="1">
      <alignment horizontal="center"/>
    </xf>
    <xf numFmtId="0" fontId="17" fillId="0" borderId="43" xfId="0" applyFont="1" applyBorder="1" applyAlignment="1">
      <alignment horizontal="left"/>
    </xf>
    <xf numFmtId="0" fontId="17" fillId="0" borderId="42" xfId="0" applyFont="1" applyBorder="1" applyAlignment="1">
      <alignment horizontal="left"/>
    </xf>
    <xf numFmtId="165" fontId="0" fillId="0" borderId="0" xfId="1" applyNumberFormat="1" applyFont="1"/>
    <xf numFmtId="44" fontId="0" fillId="4" borderId="84" xfId="0" applyNumberFormat="1" applyFill="1" applyBorder="1"/>
    <xf numFmtId="0" fontId="3" fillId="0" borderId="18" xfId="0" applyFont="1" applyBorder="1" applyAlignment="1">
      <alignment wrapText="1"/>
    </xf>
    <xf numFmtId="0" fontId="3" fillId="0" borderId="86" xfId="0" applyFont="1" applyBorder="1" applyAlignment="1">
      <alignment wrapText="1"/>
    </xf>
    <xf numFmtId="0" fontId="3" fillId="0" borderId="87" xfId="0" applyFont="1" applyBorder="1" applyAlignment="1">
      <alignment wrapText="1"/>
    </xf>
    <xf numFmtId="0" fontId="3" fillId="0" borderId="88" xfId="0" applyFont="1" applyBorder="1"/>
    <xf numFmtId="0" fontId="3" fillId="0" borderId="84" xfId="0" applyFont="1" applyBorder="1"/>
    <xf numFmtId="0" fontId="3" fillId="0" borderId="89" xfId="0" applyFont="1" applyBorder="1"/>
    <xf numFmtId="0" fontId="3" fillId="0" borderId="0" xfId="0" applyFont="1"/>
    <xf numFmtId="0" fontId="3" fillId="0" borderId="69" xfId="0" applyFont="1" applyBorder="1" applyAlignment="1">
      <alignment wrapText="1"/>
    </xf>
    <xf numFmtId="0" fontId="3" fillId="0" borderId="94" xfId="0" applyFont="1" applyBorder="1"/>
    <xf numFmtId="0" fontId="3" fillId="4" borderId="88" xfId="0" applyFont="1" applyFill="1" applyBorder="1"/>
    <xf numFmtId="44" fontId="0" fillId="4" borderId="89" xfId="0" applyNumberFormat="1" applyFill="1" applyBorder="1"/>
    <xf numFmtId="0" fontId="0" fillId="4" borderId="0" xfId="0" applyFill="1"/>
    <xf numFmtId="44" fontId="0" fillId="4" borderId="94" xfId="0" applyNumberFormat="1" applyFill="1" applyBorder="1"/>
    <xf numFmtId="0" fontId="3" fillId="36" borderId="0" xfId="0" applyFont="1" applyFill="1"/>
    <xf numFmtId="0" fontId="0" fillId="36" borderId="0" xfId="0" applyFill="1"/>
    <xf numFmtId="0" fontId="3" fillId="36" borderId="91" xfId="0" applyFont="1" applyFill="1" applyBorder="1"/>
    <xf numFmtId="44" fontId="0" fillId="36" borderId="92" xfId="0" applyNumberFormat="1" applyFill="1" applyBorder="1"/>
    <xf numFmtId="44" fontId="0" fillId="36" borderId="93" xfId="0" applyNumberFormat="1" applyFill="1" applyBorder="1"/>
    <xf numFmtId="44" fontId="0" fillId="36" borderId="95" xfId="0" applyNumberFormat="1" applyFill="1" applyBorder="1"/>
    <xf numFmtId="0" fontId="3" fillId="4" borderId="0" xfId="0" applyFont="1" applyFill="1"/>
    <xf numFmtId="0" fontId="0" fillId="70" borderId="0" xfId="0" applyFill="1"/>
    <xf numFmtId="0" fontId="3" fillId="70" borderId="0" xfId="0" applyFont="1" applyFill="1"/>
    <xf numFmtId="0" fontId="3" fillId="70" borderId="88" xfId="0" applyFont="1" applyFill="1" applyBorder="1"/>
    <xf numFmtId="44" fontId="0" fillId="70" borderId="84" xfId="0" applyNumberFormat="1" applyFill="1" applyBorder="1"/>
    <xf numFmtId="44" fontId="0" fillId="70" borderId="89" xfId="0" applyNumberFormat="1" applyFill="1" applyBorder="1"/>
    <xf numFmtId="44" fontId="0" fillId="70" borderId="94" xfId="0" applyNumberFormat="1" applyFill="1" applyBorder="1"/>
    <xf numFmtId="0" fontId="3" fillId="70" borderId="5" xfId="0" applyFont="1" applyFill="1" applyBorder="1"/>
    <xf numFmtId="44" fontId="0" fillId="70" borderId="85" xfId="0" applyNumberFormat="1" applyFill="1" applyBorder="1"/>
    <xf numFmtId="44" fontId="0" fillId="70" borderId="90" xfId="0" applyNumberFormat="1" applyFill="1" applyBorder="1"/>
    <xf numFmtId="44" fontId="0" fillId="70" borderId="71" xfId="0" applyNumberFormat="1" applyFill="1" applyBorder="1"/>
    <xf numFmtId="44" fontId="0" fillId="70" borderId="2" xfId="0" applyNumberFormat="1" applyFill="1" applyBorder="1"/>
    <xf numFmtId="44" fontId="0" fillId="4" borderId="2" xfId="0" applyNumberFormat="1" applyFill="1" applyBorder="1"/>
    <xf numFmtId="44" fontId="0" fillId="36" borderId="2" xfId="0" applyNumberFormat="1" applyFill="1" applyBorder="1"/>
    <xf numFmtId="44" fontId="0" fillId="70" borderId="96" xfId="0" applyNumberFormat="1" applyFill="1" applyBorder="1"/>
    <xf numFmtId="44" fontId="0" fillId="4" borderId="96" xfId="0" applyNumberFormat="1" applyFill="1" applyBorder="1"/>
    <xf numFmtId="44" fontId="0" fillId="36" borderId="96" xfId="0" applyNumberFormat="1" applyFill="1" applyBorder="1"/>
    <xf numFmtId="0" fontId="3" fillId="0" borderId="0" xfId="0" applyFont="1" applyAlignment="1">
      <alignment wrapText="1"/>
    </xf>
    <xf numFmtId="44" fontId="0" fillId="70" borderId="0" xfId="0" applyNumberFormat="1" applyFill="1"/>
    <xf numFmtId="44" fontId="0" fillId="4" borderId="0" xfId="0" applyNumberFormat="1" applyFill="1"/>
    <xf numFmtId="44" fontId="0" fillId="36" borderId="0" xfId="0" applyNumberFormat="1" applyFill="1"/>
    <xf numFmtId="0" fontId="3" fillId="0" borderId="0" xfId="0" applyFont="1" applyAlignment="1">
      <alignment horizontal="center"/>
    </xf>
    <xf numFmtId="2" fontId="3" fillId="70" borderId="0" xfId="0" applyNumberFormat="1" applyFont="1" applyFill="1"/>
    <xf numFmtId="2" fontId="3" fillId="4" borderId="0" xfId="0" applyNumberFormat="1" applyFont="1" applyFill="1"/>
    <xf numFmtId="2" fontId="3" fillId="36" borderId="0" xfId="0" applyNumberFormat="1" applyFont="1" applyFill="1"/>
    <xf numFmtId="7" fontId="3" fillId="70" borderId="0" xfId="0" applyNumberFormat="1" applyFont="1" applyFill="1" applyAlignment="1">
      <alignment horizontal="center" vertical="center"/>
    </xf>
    <xf numFmtId="7" fontId="3" fillId="4" borderId="0" xfId="0" applyNumberFormat="1" applyFont="1" applyFill="1" applyAlignment="1">
      <alignment horizontal="center" vertical="center"/>
    </xf>
    <xf numFmtId="7" fontId="3" fillId="36" borderId="0" xfId="0" applyNumberFormat="1" applyFont="1" applyFill="1" applyAlignment="1">
      <alignment horizontal="center" vertical="center"/>
    </xf>
    <xf numFmtId="0" fontId="0" fillId="36" borderId="0" xfId="0" applyFill="1" applyAlignment="1">
      <alignment horizontal="center"/>
    </xf>
    <xf numFmtId="2" fontId="3" fillId="70" borderId="88" xfId="0" applyNumberFormat="1" applyFont="1" applyFill="1" applyBorder="1"/>
    <xf numFmtId="2" fontId="3" fillId="4" borderId="88" xfId="0" applyNumberFormat="1" applyFont="1" applyFill="1" applyBorder="1"/>
    <xf numFmtId="0" fontId="10" fillId="0" borderId="6" xfId="0" applyFont="1" applyBorder="1" applyAlignment="1">
      <alignment wrapText="1"/>
    </xf>
    <xf numFmtId="0" fontId="12" fillId="0" borderId="5" xfId="134" applyFont="1" applyBorder="1"/>
    <xf numFmtId="0" fontId="54" fillId="0" borderId="0" xfId="134" applyFont="1"/>
    <xf numFmtId="0" fontId="10" fillId="0" borderId="5" xfId="134" applyFont="1" applyBorder="1"/>
    <xf numFmtId="0" fontId="10" fillId="0" borderId="5" xfId="0" applyFont="1" applyBorder="1"/>
    <xf numFmtId="0" fontId="12" fillId="0" borderId="0" xfId="134" applyFont="1"/>
    <xf numFmtId="0" fontId="10" fillId="0" borderId="0" xfId="134" applyFont="1"/>
    <xf numFmtId="0" fontId="10" fillId="0" borderId="6" xfId="134" applyFont="1" applyBorder="1"/>
    <xf numFmtId="0" fontId="10" fillId="0" borderId="18" xfId="0" applyFont="1" applyBorder="1"/>
    <xf numFmtId="0" fontId="10" fillId="0" borderId="13" xfId="0" applyFont="1" applyBorder="1"/>
    <xf numFmtId="4" fontId="10" fillId="0" borderId="0" xfId="0" applyNumberFormat="1" applyFont="1" applyAlignment="1">
      <alignment horizontal="center"/>
    </xf>
    <xf numFmtId="0" fontId="10" fillId="0" borderId="6" xfId="134" applyFont="1" applyBorder="1" applyAlignment="1">
      <alignment wrapText="1"/>
    </xf>
    <xf numFmtId="4" fontId="10" fillId="0" borderId="0" xfId="0" applyNumberFormat="1" applyFont="1"/>
    <xf numFmtId="0" fontId="10" fillId="0" borderId="8" xfId="134" applyFont="1" applyBorder="1"/>
    <xf numFmtId="0" fontId="12" fillId="0" borderId="7" xfId="134" applyFont="1" applyBorder="1"/>
    <xf numFmtId="0" fontId="12" fillId="0" borderId="8" xfId="134" applyFont="1" applyBorder="1"/>
    <xf numFmtId="42" fontId="81" fillId="0" borderId="0" xfId="0" applyNumberFormat="1" applyFont="1"/>
    <xf numFmtId="42" fontId="14" fillId="0" borderId="0" xfId="0" applyNumberFormat="1" applyFont="1"/>
    <xf numFmtId="0" fontId="12" fillId="0" borderId="5" xfId="0" applyFont="1" applyBorder="1"/>
    <xf numFmtId="0" fontId="10" fillId="0" borderId="5" xfId="0" applyFont="1" applyBorder="1" applyAlignment="1">
      <alignment horizontal="left"/>
    </xf>
    <xf numFmtId="0" fontId="10" fillId="0" borderId="0" xfId="0" applyFont="1"/>
    <xf numFmtId="4" fontId="56" fillId="0" borderId="13" xfId="0" applyNumberFormat="1" applyFont="1" applyBorder="1" applyAlignment="1">
      <alignment horizontal="center"/>
    </xf>
    <xf numFmtId="4" fontId="82" fillId="0" borderId="13" xfId="0" applyNumberFormat="1" applyFont="1" applyBorder="1" applyAlignment="1">
      <alignment horizontal="center"/>
    </xf>
    <xf numFmtId="0" fontId="10" fillId="0" borderId="14" xfId="0" applyFont="1" applyBorder="1" applyAlignment="1">
      <alignment wrapText="1"/>
    </xf>
    <xf numFmtId="0" fontId="12" fillId="0" borderId="0" xfId="134" applyFont="1" applyAlignment="1">
      <alignment horizontal="center" vertical="center" wrapText="1"/>
    </xf>
    <xf numFmtId="0" fontId="54" fillId="0" borderId="0" xfId="134" applyFont="1" applyAlignment="1">
      <alignment horizontal="center" vertical="center" wrapText="1"/>
    </xf>
    <xf numFmtId="44" fontId="12" fillId="0" borderId="0" xfId="1" applyFont="1" applyFill="1" applyBorder="1"/>
    <xf numFmtId="177" fontId="54" fillId="0" borderId="0" xfId="258" applyNumberFormat="1" applyFont="1" applyFill="1" applyBorder="1" applyAlignment="1">
      <alignment horizontal="center"/>
    </xf>
    <xf numFmtId="177" fontId="10" fillId="0" borderId="0" xfId="258" applyNumberFormat="1" applyFont="1" applyFill="1" applyBorder="1" applyAlignment="1">
      <alignment horizontal="center" vertical="center"/>
    </xf>
    <xf numFmtId="0" fontId="10" fillId="0" borderId="0" xfId="0" applyFont="1" applyAlignment="1">
      <alignment horizontal="left"/>
    </xf>
    <xf numFmtId="0" fontId="12" fillId="0" borderId="5" xfId="134" applyFont="1" applyBorder="1" applyAlignment="1">
      <alignment horizontal="right"/>
    </xf>
    <xf numFmtId="0" fontId="12" fillId="0" borderId="0" xfId="134" applyFont="1" applyAlignment="1">
      <alignment horizontal="right"/>
    </xf>
    <xf numFmtId="4" fontId="12" fillId="0" borderId="0" xfId="0" applyNumberFormat="1" applyFont="1" applyAlignment="1">
      <alignment horizontal="center"/>
    </xf>
    <xf numFmtId="3" fontId="54" fillId="0" borderId="0" xfId="0" applyNumberFormat="1" applyFont="1" applyAlignment="1">
      <alignment horizontal="right"/>
    </xf>
    <xf numFmtId="3" fontId="12" fillId="0" borderId="0" xfId="0" applyNumberFormat="1" applyFont="1" applyAlignment="1">
      <alignment horizontal="right"/>
    </xf>
    <xf numFmtId="0" fontId="54" fillId="0" borderId="8" xfId="134" applyFont="1" applyBorder="1"/>
    <xf numFmtId="0" fontId="10" fillId="0" borderId="9" xfId="134" applyFont="1" applyBorder="1" applyAlignment="1">
      <alignment wrapText="1"/>
    </xf>
    <xf numFmtId="0" fontId="61" fillId="0" borderId="8" xfId="209" applyFont="1" applyBorder="1" applyAlignment="1">
      <alignment wrapText="1"/>
    </xf>
    <xf numFmtId="44" fontId="8" fillId="0" borderId="0" xfId="0" applyNumberFormat="1" applyFont="1" applyAlignment="1">
      <alignment horizontal="center"/>
    </xf>
    <xf numFmtId="0" fontId="8" fillId="0" borderId="18" xfId="3" applyFont="1" applyBorder="1"/>
    <xf numFmtId="0" fontId="8" fillId="0" borderId="13" xfId="3" applyFont="1" applyBorder="1" applyAlignment="1">
      <alignment horizontal="center"/>
    </xf>
    <xf numFmtId="169" fontId="8" fillId="0" borderId="13" xfId="3" applyNumberFormat="1" applyFont="1" applyBorder="1" applyAlignment="1">
      <alignment horizontal="center"/>
    </xf>
    <xf numFmtId="1" fontId="9" fillId="0" borderId="13" xfId="3" applyNumberFormat="1" applyFont="1" applyBorder="1" applyAlignment="1">
      <alignment horizontal="center"/>
    </xf>
    <xf numFmtId="166" fontId="8" fillId="0" borderId="14" xfId="3" applyNumberFormat="1" applyFont="1" applyBorder="1"/>
    <xf numFmtId="44" fontId="8" fillId="0" borderId="0" xfId="1" applyFont="1" applyFill="1" applyAlignment="1">
      <alignment horizontal="center"/>
    </xf>
    <xf numFmtId="0" fontId="85" fillId="0" borderId="5" xfId="0" applyFont="1" applyBorder="1"/>
    <xf numFmtId="0" fontId="85" fillId="0" borderId="0" xfId="3" applyFont="1" applyAlignment="1">
      <alignment horizontal="center"/>
    </xf>
    <xf numFmtId="0" fontId="54" fillId="0" borderId="0" xfId="3" applyFont="1" applyAlignment="1">
      <alignment horizontal="center"/>
    </xf>
    <xf numFmtId="9" fontId="85" fillId="0" borderId="0" xfId="7" applyFont="1" applyFill="1" applyBorder="1" applyAlignment="1">
      <alignment horizontal="center"/>
    </xf>
    <xf numFmtId="9" fontId="54" fillId="0" borderId="0" xfId="2" applyFont="1" applyFill="1" applyBorder="1" applyAlignment="1">
      <alignment horizontal="center"/>
    </xf>
    <xf numFmtId="0" fontId="86" fillId="0" borderId="0" xfId="0" applyFont="1"/>
    <xf numFmtId="9" fontId="85" fillId="0" borderId="0" xfId="0" applyNumberFormat="1" applyFont="1" applyAlignment="1">
      <alignment horizontal="center"/>
    </xf>
    <xf numFmtId="165" fontId="3" fillId="4" borderId="9" xfId="0" applyNumberFormat="1" applyFont="1" applyFill="1" applyBorder="1"/>
    <xf numFmtId="166" fontId="10" fillId="0" borderId="16" xfId="3" applyNumberFormat="1" applyBorder="1"/>
    <xf numFmtId="10" fontId="10" fillId="0" borderId="3" xfId="2" applyNumberFormat="1" applyFont="1" applyFill="1" applyBorder="1" applyAlignment="1">
      <alignment horizontal="center"/>
    </xf>
    <xf numFmtId="9" fontId="10" fillId="0" borderId="8" xfId="2" applyFont="1" applyFill="1" applyBorder="1" applyAlignment="1">
      <alignment horizontal="center"/>
    </xf>
    <xf numFmtId="0" fontId="12" fillId="0" borderId="35" xfId="3" applyFont="1" applyBorder="1"/>
    <xf numFmtId="0" fontId="10" fillId="0" borderId="36" xfId="3" applyBorder="1" applyAlignment="1">
      <alignment horizontal="center"/>
    </xf>
    <xf numFmtId="169" fontId="10" fillId="0" borderId="36" xfId="3" applyNumberFormat="1" applyBorder="1" applyAlignment="1">
      <alignment horizontal="center"/>
    </xf>
    <xf numFmtId="1" fontId="12" fillId="0" borderId="36" xfId="3" applyNumberFormat="1" applyFont="1" applyBorder="1" applyAlignment="1">
      <alignment horizontal="center"/>
    </xf>
    <xf numFmtId="166" fontId="10" fillId="0" borderId="37" xfId="3" applyNumberFormat="1" applyBorder="1"/>
    <xf numFmtId="169" fontId="8" fillId="0" borderId="3" xfId="0" applyNumberFormat="1" applyFont="1" applyBorder="1" applyAlignment="1">
      <alignment horizontal="center"/>
    </xf>
    <xf numFmtId="9" fontId="8" fillId="0" borderId="3" xfId="0" applyNumberFormat="1" applyFont="1" applyBorder="1" applyAlignment="1">
      <alignment horizontal="center"/>
    </xf>
    <xf numFmtId="6" fontId="17" fillId="0" borderId="21" xfId="0" applyNumberFormat="1" applyFont="1" applyBorder="1" applyAlignment="1">
      <alignment horizontal="center"/>
    </xf>
    <xf numFmtId="174" fontId="8" fillId="0" borderId="0" xfId="2" applyNumberFormat="1" applyFont="1" applyFill="1"/>
    <xf numFmtId="0" fontId="87" fillId="0" borderId="0" xfId="0" applyFont="1" applyAlignment="1">
      <alignment horizontal="center"/>
    </xf>
    <xf numFmtId="0" fontId="87" fillId="0" borderId="0" xfId="0" applyFont="1" applyAlignment="1">
      <alignment horizontal="left"/>
    </xf>
    <xf numFmtId="0" fontId="87" fillId="0" borderId="0" xfId="0" applyFont="1"/>
    <xf numFmtId="0" fontId="88" fillId="0" borderId="0" xfId="376" applyFont="1"/>
    <xf numFmtId="0" fontId="89" fillId="0" borderId="0" xfId="376" applyFont="1" applyAlignment="1">
      <alignment horizontal="center"/>
    </xf>
    <xf numFmtId="0" fontId="88" fillId="0" borderId="0" xfId="376" applyFont="1" applyAlignment="1">
      <alignment wrapText="1"/>
    </xf>
    <xf numFmtId="17" fontId="90" fillId="0" borderId="0" xfId="376" applyNumberFormat="1" applyFont="1" applyAlignment="1">
      <alignment horizontal="center"/>
    </xf>
    <xf numFmtId="176" fontId="91" fillId="0" borderId="0" xfId="376" applyNumberFormat="1" applyFont="1" applyAlignment="1">
      <alignment horizontal="left" vertical="top"/>
    </xf>
    <xf numFmtId="0" fontId="91" fillId="0" borderId="0" xfId="376" applyFont="1" applyAlignment="1">
      <alignment horizontal="center"/>
    </xf>
    <xf numFmtId="0" fontId="91" fillId="0" borderId="0" xfId="376" applyFont="1"/>
    <xf numFmtId="9" fontId="91" fillId="0" borderId="0" xfId="376" applyNumberFormat="1" applyFont="1" applyAlignment="1">
      <alignment horizontal="center" wrapText="1"/>
    </xf>
    <xf numFmtId="0" fontId="91" fillId="0" borderId="0" xfId="376" applyFont="1" applyAlignment="1">
      <alignment horizontal="left" wrapText="1"/>
    </xf>
    <xf numFmtId="0" fontId="92" fillId="0" borderId="18" xfId="376" applyFont="1" applyBorder="1"/>
    <xf numFmtId="174" fontId="88" fillId="0" borderId="36" xfId="376" applyNumberFormat="1" applyFont="1" applyBorder="1" applyAlignment="1">
      <alignment horizontal="center"/>
    </xf>
    <xf numFmtId="0" fontId="92" fillId="0" borderId="7" xfId="376" applyFont="1" applyBorder="1"/>
    <xf numFmtId="164" fontId="88" fillId="0" borderId="8" xfId="376" applyNumberFormat="1" applyFont="1" applyBorder="1" applyAlignment="1">
      <alignment horizontal="center"/>
    </xf>
    <xf numFmtId="0" fontId="88" fillId="0" borderId="18" xfId="376" applyFont="1" applyBorder="1"/>
    <xf numFmtId="0" fontId="88" fillId="0" borderId="13" xfId="376" applyFont="1" applyBorder="1"/>
    <xf numFmtId="0" fontId="88" fillId="0" borderId="5" xfId="376" applyFont="1" applyBorder="1"/>
    <xf numFmtId="164" fontId="88" fillId="0" borderId="0" xfId="376" applyNumberFormat="1" applyFont="1" applyAlignment="1">
      <alignment horizontal="center"/>
    </xf>
    <xf numFmtId="0" fontId="88" fillId="0" borderId="7" xfId="376" applyFont="1" applyBorder="1"/>
    <xf numFmtId="0" fontId="88" fillId="0" borderId="8" xfId="376" applyFont="1" applyBorder="1"/>
    <xf numFmtId="0" fontId="88" fillId="0" borderId="18" xfId="376" applyFont="1" applyBorder="1" applyAlignment="1">
      <alignment wrapText="1"/>
    </xf>
    <xf numFmtId="0" fontId="88" fillId="0" borderId="7" xfId="376" applyFont="1" applyBorder="1" applyAlignment="1">
      <alignment wrapText="1"/>
    </xf>
    <xf numFmtId="174" fontId="88" fillId="0" borderId="13" xfId="376" applyNumberFormat="1" applyFont="1" applyBorder="1" applyAlignment="1">
      <alignment horizontal="center"/>
    </xf>
    <xf numFmtId="174" fontId="88" fillId="0" borderId="0" xfId="376" applyNumberFormat="1" applyFont="1" applyAlignment="1">
      <alignment horizontal="center"/>
    </xf>
    <xf numFmtId="0" fontId="92" fillId="0" borderId="5" xfId="376" applyFont="1" applyBorder="1"/>
    <xf numFmtId="0" fontId="93" fillId="0" borderId="0" xfId="376" applyFont="1" applyAlignment="1">
      <alignment horizontal="right" wrapText="1"/>
    </xf>
    <xf numFmtId="0" fontId="88" fillId="0" borderId="0" xfId="376" applyFont="1" applyAlignment="1">
      <alignment horizontal="center"/>
    </xf>
    <xf numFmtId="0" fontId="88" fillId="0" borderId="0" xfId="376" applyFont="1" applyAlignment="1">
      <alignment horizontal="right"/>
    </xf>
    <xf numFmtId="10" fontId="88" fillId="0" borderId="0" xfId="196" applyNumberFormat="1" applyFont="1" applyAlignment="1">
      <alignment horizontal="center"/>
    </xf>
    <xf numFmtId="9" fontId="88" fillId="0" borderId="0" xfId="196" applyFont="1" applyAlignment="1">
      <alignment horizontal="center"/>
    </xf>
    <xf numFmtId="9" fontId="88" fillId="0" borderId="0" xfId="196" applyFont="1"/>
    <xf numFmtId="0" fontId="92" fillId="0" borderId="0" xfId="376" applyFont="1" applyAlignment="1">
      <alignment horizontal="right"/>
    </xf>
    <xf numFmtId="6" fontId="88" fillId="0" borderId="0" xfId="376" applyNumberFormat="1" applyFont="1" applyAlignment="1">
      <alignment horizontal="center"/>
    </xf>
    <xf numFmtId="0" fontId="91" fillId="0" borderId="0" xfId="376" applyFont="1" applyAlignment="1">
      <alignment horizontal="right"/>
    </xf>
    <xf numFmtId="0" fontId="91" fillId="0" borderId="0" xfId="376" applyFont="1" applyAlignment="1">
      <alignment horizontal="right" vertical="top"/>
    </xf>
    <xf numFmtId="0" fontId="10" fillId="0" borderId="0" xfId="374"/>
    <xf numFmtId="0" fontId="13" fillId="33" borderId="0" xfId="374" applyFont="1" applyFill="1"/>
    <xf numFmtId="0" fontId="12" fillId="33" borderId="6" xfId="374" applyFont="1" applyFill="1" applyBorder="1"/>
    <xf numFmtId="0" fontId="18" fillId="33" borderId="8" xfId="374" applyFont="1" applyFill="1" applyBorder="1"/>
    <xf numFmtId="0" fontId="12" fillId="33" borderId="9" xfId="374" applyFont="1" applyFill="1" applyBorder="1"/>
    <xf numFmtId="0" fontId="12" fillId="0" borderId="0" xfId="374" applyFont="1"/>
    <xf numFmtId="14" fontId="12" fillId="0" borderId="0" xfId="374" applyNumberFormat="1" applyFont="1"/>
    <xf numFmtId="171" fontId="10" fillId="0" borderId="0" xfId="374" applyNumberFormat="1"/>
    <xf numFmtId="2" fontId="10" fillId="0" borderId="0" xfId="374" applyNumberFormat="1"/>
    <xf numFmtId="168" fontId="10" fillId="0" borderId="0" xfId="374" applyNumberFormat="1"/>
    <xf numFmtId="0" fontId="12" fillId="0" borderId="0" xfId="377" applyFont="1" applyAlignment="1"/>
    <xf numFmtId="0" fontId="96" fillId="0" borderId="0" xfId="377" applyAlignment="1"/>
    <xf numFmtId="0" fontId="54" fillId="0" borderId="0" xfId="377" applyFont="1" applyAlignment="1"/>
    <xf numFmtId="0" fontId="55" fillId="0" borderId="0" xfId="377" applyFont="1" applyAlignment="1"/>
    <xf numFmtId="0" fontId="96" fillId="0" borderId="59" xfId="377" applyBorder="1" applyAlignment="1"/>
    <xf numFmtId="0" fontId="96" fillId="0" borderId="60" xfId="377" applyBorder="1" applyAlignment="1"/>
    <xf numFmtId="0" fontId="96" fillId="0" borderId="61" xfId="377" applyBorder="1" applyAlignment="1"/>
    <xf numFmtId="0" fontId="96" fillId="0" borderId="62" xfId="377" applyBorder="1" applyAlignment="1"/>
    <xf numFmtId="0" fontId="96" fillId="0" borderId="0" xfId="377" applyAlignment="1">
      <alignment horizontal="right"/>
    </xf>
    <xf numFmtId="0" fontId="12" fillId="0" borderId="0" xfId="377" applyFont="1" applyAlignment="1">
      <alignment horizontal="center"/>
    </xf>
    <xf numFmtId="0" fontId="96" fillId="0" borderId="63" xfId="377" applyBorder="1" applyAlignment="1"/>
    <xf numFmtId="14" fontId="12" fillId="0" borderId="0" xfId="107" applyNumberFormat="1" applyFont="1" applyAlignment="1">
      <alignment horizontal="center"/>
    </xf>
    <xf numFmtId="0" fontId="56" fillId="0" borderId="63" xfId="377" applyFont="1" applyBorder="1" applyAlignment="1">
      <alignment horizontal="center"/>
    </xf>
    <xf numFmtId="171" fontId="10" fillId="0" borderId="20" xfId="107" applyNumberFormat="1" applyBorder="1"/>
    <xf numFmtId="171" fontId="96" fillId="0" borderId="63" xfId="377" applyNumberFormat="1" applyBorder="1" applyAlignment="1">
      <alignment horizontal="center"/>
    </xf>
    <xf numFmtId="0" fontId="96" fillId="0" borderId="63" xfId="377" applyBorder="1" applyAlignment="1">
      <alignment horizontal="center"/>
    </xf>
    <xf numFmtId="0" fontId="96" fillId="0" borderId="62" xfId="377" applyBorder="1" applyAlignment="1">
      <alignment horizontal="right"/>
    </xf>
    <xf numFmtId="0" fontId="12" fillId="0" borderId="0" xfId="107" applyFont="1"/>
    <xf numFmtId="171" fontId="10" fillId="0" borderId="0" xfId="107" applyNumberFormat="1"/>
    <xf numFmtId="0" fontId="12" fillId="4" borderId="0" xfId="377" applyFont="1" applyFill="1" applyAlignment="1">
      <alignment horizontal="right"/>
    </xf>
    <xf numFmtId="0" fontId="96" fillId="0" borderId="67" xfId="377" applyBorder="1" applyAlignment="1"/>
    <xf numFmtId="0" fontId="96" fillId="0" borderId="30" xfId="377" applyBorder="1" applyAlignment="1"/>
    <xf numFmtId="0" fontId="96" fillId="0" borderId="68" xfId="377" applyBorder="1" applyAlignment="1"/>
    <xf numFmtId="10" fontId="8" fillId="0" borderId="0" xfId="0" applyNumberFormat="1" applyFont="1"/>
    <xf numFmtId="10" fontId="8" fillId="0" borderId="0" xfId="1" applyNumberFormat="1" applyFont="1" applyFill="1"/>
    <xf numFmtId="174" fontId="0" fillId="0" borderId="0" xfId="0" applyNumberFormat="1"/>
    <xf numFmtId="164" fontId="0" fillId="0" borderId="0" xfId="0" applyNumberFormat="1"/>
    <xf numFmtId="9" fontId="8" fillId="6" borderId="0" xfId="2" applyFont="1" applyFill="1"/>
    <xf numFmtId="9" fontId="0" fillId="0" borderId="0" xfId="2" applyFont="1"/>
    <xf numFmtId="8" fontId="17" fillId="0" borderId="21" xfId="8" applyNumberFormat="1" applyFont="1" applyBorder="1" applyAlignment="1">
      <alignment horizontal="center"/>
    </xf>
    <xf numFmtId="8" fontId="17" fillId="0" borderId="21" xfId="0" applyNumberFormat="1" applyFont="1" applyBorder="1" applyAlignment="1">
      <alignment horizontal="center"/>
    </xf>
    <xf numFmtId="8" fontId="17" fillId="0" borderId="20" xfId="8" applyNumberFormat="1" applyFont="1" applyBorder="1" applyAlignment="1">
      <alignment horizontal="center"/>
    </xf>
    <xf numFmtId="6" fontId="17" fillId="0" borderId="20" xfId="8" applyNumberFormat="1" applyFont="1" applyBorder="1" applyAlignment="1">
      <alignment horizontal="center"/>
    </xf>
    <xf numFmtId="8" fontId="17" fillId="0" borderId="20" xfId="0" applyNumberFormat="1" applyFont="1" applyBorder="1" applyAlignment="1">
      <alignment horizontal="center"/>
    </xf>
    <xf numFmtId="44" fontId="0" fillId="0" borderId="99" xfId="1" applyFont="1" applyFill="1" applyBorder="1"/>
    <xf numFmtId="44" fontId="0" fillId="0" borderId="104" xfId="1" applyFont="1" applyFill="1" applyBorder="1"/>
    <xf numFmtId="44" fontId="0" fillId="0" borderId="111" xfId="1" applyFont="1" applyFill="1" applyBorder="1"/>
    <xf numFmtId="44" fontId="0" fillId="0" borderId="98" xfId="0" applyNumberFormat="1" applyBorder="1"/>
    <xf numFmtId="0" fontId="0" fillId="0" borderId="99" xfId="0" applyBorder="1"/>
    <xf numFmtId="44" fontId="0" fillId="0" borderId="99" xfId="0" applyNumberFormat="1" applyBorder="1"/>
    <xf numFmtId="0" fontId="0" fillId="0" borderId="100" xfId="0" applyBorder="1"/>
    <xf numFmtId="44" fontId="0" fillId="0" borderId="114" xfId="0" applyNumberFormat="1" applyBorder="1"/>
    <xf numFmtId="44" fontId="0" fillId="0" borderId="20" xfId="1" applyFont="1" applyFill="1" applyBorder="1"/>
    <xf numFmtId="44" fontId="0" fillId="0" borderId="58" xfId="1" applyFont="1" applyFill="1" applyBorder="1"/>
    <xf numFmtId="44" fontId="0" fillId="0" borderId="112" xfId="1" applyFont="1" applyFill="1" applyBorder="1"/>
    <xf numFmtId="44" fontId="0" fillId="0" borderId="19" xfId="0" applyNumberFormat="1" applyBorder="1"/>
    <xf numFmtId="0" fontId="0" fillId="0" borderId="20" xfId="0" applyBorder="1"/>
    <xf numFmtId="44" fontId="0" fillId="0" borderId="20" xfId="0" applyNumberFormat="1" applyBorder="1"/>
    <xf numFmtId="0" fontId="0" fillId="0" borderId="21" xfId="0" applyBorder="1"/>
    <xf numFmtId="44" fontId="0" fillId="0" borderId="6" xfId="0" applyNumberFormat="1" applyBorder="1"/>
    <xf numFmtId="44" fontId="0" fillId="0" borderId="101" xfId="1" applyFont="1" applyFill="1" applyBorder="1"/>
    <xf numFmtId="44" fontId="0" fillId="0" borderId="102" xfId="1" applyFont="1" applyFill="1" applyBorder="1"/>
    <xf numFmtId="44" fontId="0" fillId="0" borderId="105" xfId="1" applyFont="1" applyFill="1" applyBorder="1"/>
    <xf numFmtId="44" fontId="0" fillId="0" borderId="113" xfId="1" applyFont="1" applyFill="1" applyBorder="1"/>
    <xf numFmtId="44" fontId="0" fillId="0" borderId="101" xfId="0" applyNumberFormat="1" applyBorder="1"/>
    <xf numFmtId="0" fontId="0" fillId="0" borderId="102" xfId="0" applyBorder="1"/>
    <xf numFmtId="44" fontId="0" fillId="0" borderId="102" xfId="0" applyNumberFormat="1" applyBorder="1"/>
    <xf numFmtId="0" fontId="0" fillId="0" borderId="103" xfId="0" applyBorder="1"/>
    <xf numFmtId="44" fontId="0" fillId="0" borderId="85" xfId="0" applyNumberFormat="1" applyBorder="1"/>
    <xf numFmtId="44" fontId="0" fillId="0" borderId="90" xfId="0" applyNumberFormat="1" applyBorder="1"/>
    <xf numFmtId="44" fontId="0" fillId="0" borderId="0" xfId="0" applyNumberFormat="1"/>
    <xf numFmtId="44" fontId="0" fillId="0" borderId="71" xfId="0" applyNumberFormat="1" applyBorder="1"/>
    <xf numFmtId="44" fontId="0" fillId="0" borderId="94" xfId="0" applyNumberFormat="1" applyBorder="1"/>
    <xf numFmtId="44" fontId="0" fillId="0" borderId="84" xfId="0" applyNumberFormat="1" applyBorder="1"/>
    <xf numFmtId="44" fontId="0" fillId="0" borderId="89" xfId="0" applyNumberFormat="1" applyBorder="1"/>
    <xf numFmtId="2" fontId="3" fillId="0" borderId="88" xfId="0" applyNumberFormat="1" applyFont="1" applyBorder="1"/>
    <xf numFmtId="44" fontId="0" fillId="0" borderId="100" xfId="1" applyFont="1" applyFill="1" applyBorder="1"/>
    <xf numFmtId="44" fontId="0" fillId="0" borderId="106" xfId="1" applyFont="1" applyFill="1" applyBorder="1"/>
    <xf numFmtId="44" fontId="0" fillId="0" borderId="21" xfId="1" applyFont="1" applyFill="1" applyBorder="1"/>
    <xf numFmtId="44" fontId="0" fillId="0" borderId="107" xfId="1" applyFont="1" applyFill="1" applyBorder="1"/>
    <xf numFmtId="44" fontId="0" fillId="0" borderId="108" xfId="1" applyFont="1" applyFill="1" applyBorder="1"/>
    <xf numFmtId="44" fontId="0" fillId="0" borderId="103" xfId="1" applyFont="1" applyFill="1" applyBorder="1"/>
    <xf numFmtId="0" fontId="0" fillId="0" borderId="109" xfId="0" applyBorder="1" applyAlignment="1">
      <alignment horizontal="center"/>
    </xf>
    <xf numFmtId="2" fontId="0" fillId="0" borderId="97" xfId="1" applyNumberFormat="1" applyFont="1" applyFill="1" applyBorder="1"/>
    <xf numFmtId="44" fontId="0" fillId="0" borderId="97" xfId="1" applyFont="1" applyFill="1" applyBorder="1"/>
    <xf numFmtId="44" fontId="0" fillId="0" borderId="115" xfId="1" applyFont="1" applyFill="1" applyBorder="1"/>
    <xf numFmtId="44" fontId="0" fillId="0" borderId="96" xfId="1" applyFont="1" applyFill="1" applyBorder="1"/>
    <xf numFmtId="44" fontId="0" fillId="0" borderId="116" xfId="0" applyNumberFormat="1" applyBorder="1"/>
    <xf numFmtId="0" fontId="0" fillId="0" borderId="97" xfId="0" applyBorder="1"/>
    <xf numFmtId="44" fontId="0" fillId="0" borderId="110" xfId="0" applyNumberFormat="1" applyBorder="1"/>
    <xf numFmtId="2" fontId="3" fillId="0" borderId="0" xfId="0" applyNumberFormat="1" applyFont="1"/>
    <xf numFmtId="44" fontId="0" fillId="0" borderId="2" xfId="0" applyNumberFormat="1" applyBorder="1"/>
    <xf numFmtId="44" fontId="0" fillId="0" borderId="96" xfId="0" applyNumberFormat="1" applyBorder="1"/>
    <xf numFmtId="7" fontId="3" fillId="0" borderId="0" xfId="0" applyNumberFormat="1" applyFont="1" applyAlignment="1">
      <alignment horizontal="center" vertical="center"/>
    </xf>
    <xf numFmtId="165" fontId="0" fillId="0" borderId="0" xfId="0" applyNumberFormat="1"/>
    <xf numFmtId="2" fontId="0" fillId="0" borderId="98" xfId="1" applyNumberFormat="1" applyFont="1" applyFill="1" applyBorder="1"/>
    <xf numFmtId="2" fontId="0" fillId="0" borderId="19" xfId="1" applyNumberFormat="1" applyFont="1" applyFill="1" applyBorder="1"/>
    <xf numFmtId="2" fontId="0" fillId="0" borderId="101" xfId="1" applyNumberFormat="1" applyFont="1" applyFill="1" applyBorder="1"/>
    <xf numFmtId="2" fontId="3" fillId="0" borderId="5" xfId="0" applyNumberFormat="1" applyFont="1" applyBorder="1"/>
    <xf numFmtId="2" fontId="0" fillId="0" borderId="106" xfId="0" applyNumberFormat="1" applyBorder="1"/>
    <xf numFmtId="2" fontId="0" fillId="0" borderId="107" xfId="0" applyNumberFormat="1" applyBorder="1"/>
    <xf numFmtId="2" fontId="3" fillId="0" borderId="108" xfId="0" applyNumberFormat="1" applyFont="1" applyBorder="1"/>
    <xf numFmtId="0" fontId="61" fillId="0" borderId="14" xfId="209" applyFont="1" applyBorder="1" applyAlignment="1">
      <alignment horizontal="left" vertical="center" wrapText="1"/>
    </xf>
    <xf numFmtId="0" fontId="61" fillId="0" borderId="9" xfId="209" applyFont="1" applyBorder="1" applyAlignment="1">
      <alignment horizontal="left" vertical="center" wrapText="1"/>
    </xf>
    <xf numFmtId="0" fontId="61" fillId="0" borderId="13" xfId="209" applyFont="1" applyBorder="1" applyAlignment="1">
      <alignment horizontal="left" vertical="top" wrapText="1"/>
    </xf>
    <xf numFmtId="0" fontId="61" fillId="0" borderId="8" xfId="209" applyFont="1" applyBorder="1" applyAlignment="1">
      <alignment horizontal="left" vertical="top" wrapText="1"/>
    </xf>
    <xf numFmtId="0" fontId="61" fillId="0" borderId="6" xfId="209" applyFont="1" applyBorder="1" applyAlignment="1">
      <alignment horizontal="left" vertical="center" wrapText="1"/>
    </xf>
    <xf numFmtId="174" fontId="1" fillId="0" borderId="69" xfId="209" applyNumberFormat="1" applyBorder="1" applyAlignment="1">
      <alignment horizontal="right" vertical="center"/>
    </xf>
    <xf numFmtId="174" fontId="1" fillId="0" borderId="70" xfId="209" applyNumberFormat="1" applyBorder="1" applyAlignment="1">
      <alignment horizontal="right" vertical="center"/>
    </xf>
    <xf numFmtId="49" fontId="61" fillId="0" borderId="14" xfId="209" applyNumberFormat="1" applyFont="1" applyBorder="1" applyAlignment="1">
      <alignment horizontal="left" vertical="center" wrapText="1"/>
    </xf>
    <xf numFmtId="49" fontId="61" fillId="0" borderId="9" xfId="209" applyNumberFormat="1" applyFont="1" applyBorder="1" applyAlignment="1">
      <alignment horizontal="left" vertical="center" wrapText="1"/>
    </xf>
    <xf numFmtId="0" fontId="61" fillId="0" borderId="13" xfId="209" applyFont="1" applyBorder="1" applyAlignment="1">
      <alignment vertical="top" wrapText="1"/>
    </xf>
    <xf numFmtId="0" fontId="61" fillId="0" borderId="8" xfId="209" applyFont="1" applyBorder="1" applyAlignment="1">
      <alignment vertical="top" wrapText="1"/>
    </xf>
    <xf numFmtId="0" fontId="63" fillId="0" borderId="0" xfId="209" applyFont="1" applyAlignment="1">
      <alignment horizontal="left" vertical="top" wrapText="1"/>
    </xf>
    <xf numFmtId="0" fontId="10" fillId="0" borderId="62" xfId="144" applyBorder="1" applyAlignment="1">
      <alignment horizontal="right"/>
    </xf>
    <xf numFmtId="0" fontId="10" fillId="0" borderId="0" xfId="144" applyAlignment="1">
      <alignment horizontal="right"/>
    </xf>
    <xf numFmtId="0" fontId="11" fillId="33" borderId="13" xfId="374" applyFont="1" applyFill="1" applyBorder="1" applyAlignment="1">
      <alignment horizontal="left"/>
    </xf>
    <xf numFmtId="0" fontId="11" fillId="33" borderId="14" xfId="374" applyFont="1" applyFill="1" applyBorder="1" applyAlignment="1">
      <alignment horizontal="left"/>
    </xf>
    <xf numFmtId="0" fontId="96" fillId="0" borderId="62" xfId="377" applyBorder="1" applyAlignment="1">
      <alignment horizontal="right"/>
    </xf>
    <xf numFmtId="0" fontId="96" fillId="0" borderId="0" xfId="377" applyAlignment="1">
      <alignment horizontal="right"/>
    </xf>
    <xf numFmtId="0" fontId="88" fillId="0" borderId="0" xfId="376" applyFont="1" applyAlignment="1">
      <alignment horizontal="left" vertical="top" wrapText="1"/>
    </xf>
    <xf numFmtId="0" fontId="88" fillId="0" borderId="0" xfId="376" applyFont="1" applyAlignment="1">
      <alignment horizontal="center"/>
    </xf>
    <xf numFmtId="0" fontId="90" fillId="0" borderId="0" xfId="376" applyFont="1" applyAlignment="1">
      <alignment horizontal="center"/>
    </xf>
    <xf numFmtId="0" fontId="88" fillId="0" borderId="14" xfId="376" applyFont="1" applyBorder="1" applyAlignment="1">
      <alignment horizontal="left" vertical="center" wrapText="1"/>
    </xf>
    <xf numFmtId="0" fontId="88" fillId="0" borderId="9" xfId="376" applyFont="1" applyBorder="1" applyAlignment="1">
      <alignment horizontal="left" vertical="center" wrapText="1"/>
    </xf>
    <xf numFmtId="0" fontId="88" fillId="0" borderId="13" xfId="376" applyFont="1" applyBorder="1" applyAlignment="1">
      <alignment vertical="top" wrapText="1"/>
    </xf>
    <xf numFmtId="0" fontId="88" fillId="0" borderId="8" xfId="376" applyFont="1" applyBorder="1" applyAlignment="1">
      <alignment vertical="top" wrapText="1"/>
    </xf>
    <xf numFmtId="49" fontId="88" fillId="0" borderId="14" xfId="376" applyNumberFormat="1" applyFont="1" applyBorder="1" applyAlignment="1">
      <alignment horizontal="left" vertical="center" wrapText="1"/>
    </xf>
    <xf numFmtId="49" fontId="88" fillId="0" borderId="9" xfId="376" applyNumberFormat="1" applyFont="1" applyBorder="1" applyAlignment="1">
      <alignment horizontal="left" vertical="center" wrapText="1"/>
    </xf>
    <xf numFmtId="0" fontId="88" fillId="0" borderId="6" xfId="376" applyFont="1" applyBorder="1" applyAlignment="1">
      <alignment horizontal="left" vertical="center" wrapText="1"/>
    </xf>
    <xf numFmtId="0" fontId="88" fillId="0" borderId="13" xfId="376" applyFont="1" applyBorder="1" applyAlignment="1">
      <alignment horizontal="left" vertical="top" wrapText="1"/>
    </xf>
    <xf numFmtId="0" fontId="88" fillId="0" borderId="8" xfId="376" applyFont="1" applyBorder="1" applyAlignment="1">
      <alignment horizontal="left" vertical="top" wrapText="1"/>
    </xf>
    <xf numFmtId="0" fontId="9" fillId="0" borderId="0" xfId="0" applyFont="1" applyAlignment="1">
      <alignment horizontal="left"/>
    </xf>
    <xf numFmtId="166" fontId="8" fillId="0" borderId="82" xfId="3" applyNumberFormat="1" applyFont="1" applyBorder="1" applyAlignment="1">
      <alignment horizontal="left"/>
    </xf>
    <xf numFmtId="166" fontId="8" fillId="0" borderId="60" xfId="3" applyNumberFormat="1" applyFont="1" applyBorder="1" applyAlignment="1">
      <alignment horizontal="left"/>
    </xf>
    <xf numFmtId="166" fontId="8" fillId="0" borderId="5" xfId="3" applyNumberFormat="1" applyFont="1" applyBorder="1" applyAlignment="1">
      <alignment horizontal="left"/>
    </xf>
    <xf numFmtId="166" fontId="8" fillId="0" borderId="0" xfId="3" applyNumberFormat="1" applyFont="1" applyAlignment="1">
      <alignment horizontal="left"/>
    </xf>
    <xf numFmtId="0" fontId="8" fillId="0" borderId="5" xfId="3" applyFont="1" applyBorder="1" applyAlignment="1">
      <alignment horizontal="left"/>
    </xf>
    <xf numFmtId="0" fontId="8" fillId="0" borderId="0" xfId="3" applyFont="1" applyAlignment="1">
      <alignment horizontal="left"/>
    </xf>
    <xf numFmtId="0" fontId="16" fillId="7" borderId="2" xfId="0" applyFont="1" applyFill="1" applyBorder="1" applyAlignment="1">
      <alignment horizontal="center"/>
    </xf>
    <xf numFmtId="0" fontId="16" fillId="7" borderId="3" xfId="0" applyFont="1" applyFill="1" applyBorder="1" applyAlignment="1">
      <alignment horizontal="center"/>
    </xf>
    <xf numFmtId="0" fontId="16" fillId="7" borderId="4" xfId="0" applyFont="1" applyFill="1" applyBorder="1" applyAlignment="1">
      <alignment horizontal="center"/>
    </xf>
    <xf numFmtId="166" fontId="9" fillId="8" borderId="2" xfId="3" applyNumberFormat="1" applyFont="1" applyFill="1" applyBorder="1" applyAlignment="1">
      <alignment horizontal="center" wrapText="1"/>
    </xf>
    <xf numFmtId="166" fontId="9" fillId="8" borderId="3" xfId="3" applyNumberFormat="1" applyFont="1" applyFill="1" applyBorder="1" applyAlignment="1">
      <alignment horizontal="center" wrapText="1"/>
    </xf>
    <xf numFmtId="166" fontId="9" fillId="8" borderId="4" xfId="3" applyNumberFormat="1" applyFont="1" applyFill="1" applyBorder="1" applyAlignment="1">
      <alignment horizontal="center" wrapText="1"/>
    </xf>
    <xf numFmtId="166" fontId="9" fillId="8" borderId="2" xfId="3" applyNumberFormat="1" applyFont="1" applyFill="1" applyBorder="1" applyAlignment="1">
      <alignment horizontal="center"/>
    </xf>
    <xf numFmtId="166" fontId="9" fillId="8" borderId="3" xfId="3" applyNumberFormat="1" applyFont="1" applyFill="1" applyBorder="1" applyAlignment="1">
      <alignment horizontal="center"/>
    </xf>
    <xf numFmtId="166" fontId="9" fillId="8" borderId="4" xfId="3" applyNumberFormat="1" applyFont="1" applyFill="1" applyBorder="1" applyAlignment="1">
      <alignment horizontal="center"/>
    </xf>
    <xf numFmtId="0" fontId="9" fillId="0" borderId="73" xfId="3" applyFont="1" applyBorder="1" applyAlignment="1">
      <alignment horizontal="center"/>
    </xf>
    <xf numFmtId="0" fontId="9" fillId="0" borderId="58" xfId="3" applyFont="1" applyBorder="1" applyAlignment="1">
      <alignment horizontal="center"/>
    </xf>
    <xf numFmtId="166" fontId="18" fillId="9" borderId="18" xfId="3" applyNumberFormat="1" applyFont="1" applyFill="1" applyBorder="1" applyAlignment="1">
      <alignment horizontal="center"/>
    </xf>
    <xf numFmtId="166" fontId="18" fillId="9" borderId="13" xfId="3" applyNumberFormat="1" applyFont="1" applyFill="1" applyBorder="1" applyAlignment="1">
      <alignment horizontal="center"/>
    </xf>
    <xf numFmtId="166" fontId="18" fillId="9" borderId="14" xfId="3" applyNumberFormat="1" applyFont="1" applyFill="1" applyBorder="1" applyAlignment="1">
      <alignment horizontal="center"/>
    </xf>
    <xf numFmtId="166" fontId="18" fillId="9" borderId="18" xfId="3" applyNumberFormat="1" applyFont="1" applyFill="1" applyBorder="1" applyAlignment="1">
      <alignment horizontal="center" wrapText="1"/>
    </xf>
    <xf numFmtId="166" fontId="18" fillId="9" borderId="13" xfId="3" applyNumberFormat="1" applyFont="1" applyFill="1" applyBorder="1" applyAlignment="1">
      <alignment horizontal="center" wrapText="1"/>
    </xf>
    <xf numFmtId="166" fontId="18" fillId="9" borderId="14" xfId="3" applyNumberFormat="1" applyFont="1" applyFill="1" applyBorder="1" applyAlignment="1">
      <alignment horizontal="center" wrapText="1"/>
    </xf>
    <xf numFmtId="166" fontId="18" fillId="9" borderId="7" xfId="3" applyNumberFormat="1" applyFont="1" applyFill="1" applyBorder="1" applyAlignment="1">
      <alignment horizontal="center" wrapText="1"/>
    </xf>
    <xf numFmtId="166" fontId="18" fillId="9" borderId="8" xfId="3" applyNumberFormat="1" applyFont="1" applyFill="1" applyBorder="1" applyAlignment="1">
      <alignment horizontal="center" wrapText="1"/>
    </xf>
    <xf numFmtId="166" fontId="18" fillId="9" borderId="9" xfId="3" applyNumberFormat="1" applyFont="1" applyFill="1" applyBorder="1" applyAlignment="1">
      <alignment horizontal="center" wrapText="1"/>
    </xf>
    <xf numFmtId="166" fontId="18" fillId="9" borderId="7" xfId="3" applyNumberFormat="1" applyFont="1" applyFill="1" applyBorder="1" applyAlignment="1">
      <alignment horizontal="center"/>
    </xf>
    <xf numFmtId="166" fontId="18" fillId="9" borderId="8" xfId="3" applyNumberFormat="1" applyFont="1" applyFill="1" applyBorder="1" applyAlignment="1">
      <alignment horizontal="center"/>
    </xf>
    <xf numFmtId="166" fontId="18" fillId="9" borderId="9" xfId="3" applyNumberFormat="1" applyFont="1" applyFill="1" applyBorder="1" applyAlignment="1">
      <alignment horizontal="center"/>
    </xf>
    <xf numFmtId="166" fontId="11" fillId="10" borderId="2" xfId="3" applyNumberFormat="1" applyFont="1" applyFill="1" applyBorder="1" applyAlignment="1">
      <alignment horizontal="center"/>
    </xf>
    <xf numFmtId="166" fontId="11" fillId="10" borderId="3" xfId="3" applyNumberFormat="1" applyFont="1" applyFill="1" applyBorder="1" applyAlignment="1">
      <alignment horizontal="center"/>
    </xf>
    <xf numFmtId="166" fontId="11" fillId="10" borderId="4" xfId="3" applyNumberFormat="1" applyFont="1" applyFill="1" applyBorder="1" applyAlignment="1">
      <alignment horizontal="center"/>
    </xf>
    <xf numFmtId="166" fontId="11" fillId="40" borderId="2" xfId="3" applyNumberFormat="1" applyFont="1" applyFill="1" applyBorder="1" applyAlignment="1">
      <alignment horizontal="center"/>
    </xf>
    <xf numFmtId="166" fontId="11" fillId="40" borderId="3" xfId="3" applyNumberFormat="1" applyFont="1" applyFill="1" applyBorder="1" applyAlignment="1">
      <alignment horizontal="center"/>
    </xf>
    <xf numFmtId="166" fontId="11" fillId="40" borderId="4" xfId="3" applyNumberFormat="1" applyFont="1" applyFill="1" applyBorder="1" applyAlignment="1">
      <alignment horizontal="center"/>
    </xf>
    <xf numFmtId="0" fontId="0" fillId="70" borderId="6"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0" fillId="0" borderId="5" xfId="134" applyFont="1" applyBorder="1" applyAlignment="1">
      <alignment horizontal="center" wrapText="1"/>
    </xf>
    <xf numFmtId="0" fontId="10" fillId="0" borderId="0" xfId="134" applyFont="1" applyAlignment="1">
      <alignment horizontal="center" wrapText="1"/>
    </xf>
    <xf numFmtId="0" fontId="10" fillId="0" borderId="6" xfId="134" applyFont="1" applyBorder="1" applyAlignment="1">
      <alignment horizontal="center" wrapText="1"/>
    </xf>
  </cellXfs>
  <cellStyles count="378">
    <cellStyle name="20% - Accent1" xfId="232" builtinId="30" customBuiltin="1"/>
    <cellStyle name="20% - Accent1 2" xfId="9" xr:uid="{00000000-0005-0000-0000-000001000000}"/>
    <cellStyle name="20% - Accent2" xfId="236" builtinId="34" customBuiltin="1"/>
    <cellStyle name="20% - Accent2 2" xfId="10" xr:uid="{00000000-0005-0000-0000-000003000000}"/>
    <cellStyle name="20% - Accent3" xfId="240" builtinId="38" customBuiltin="1"/>
    <cellStyle name="20% - Accent3 2" xfId="11" xr:uid="{00000000-0005-0000-0000-000005000000}"/>
    <cellStyle name="20% - Accent4" xfId="244" builtinId="42" customBuiltin="1"/>
    <cellStyle name="20% - Accent4 2" xfId="12" xr:uid="{00000000-0005-0000-0000-000007000000}"/>
    <cellStyle name="20% - Accent5" xfId="248" builtinId="46" customBuiltin="1"/>
    <cellStyle name="20% - Accent5 2" xfId="13" xr:uid="{00000000-0005-0000-0000-000009000000}"/>
    <cellStyle name="20% - Accent6" xfId="252" builtinId="50" customBuiltin="1"/>
    <cellStyle name="20% - Accent6 2" xfId="14" xr:uid="{00000000-0005-0000-0000-00000B000000}"/>
    <cellStyle name="40% - Accent1" xfId="233" builtinId="31" customBuiltin="1"/>
    <cellStyle name="40% - Accent1 2" xfId="15" xr:uid="{00000000-0005-0000-0000-00000D000000}"/>
    <cellStyle name="40% - Accent2" xfId="237" builtinId="35" customBuiltin="1"/>
    <cellStyle name="40% - Accent2 2" xfId="16" xr:uid="{00000000-0005-0000-0000-00000F000000}"/>
    <cellStyle name="40% - Accent3" xfId="241" builtinId="39" customBuiltin="1"/>
    <cellStyle name="40% - Accent3 2" xfId="17" xr:uid="{00000000-0005-0000-0000-000011000000}"/>
    <cellStyle name="40% - Accent4" xfId="245" builtinId="43" customBuiltin="1"/>
    <cellStyle name="40% - Accent4 2" xfId="18" xr:uid="{00000000-0005-0000-0000-000013000000}"/>
    <cellStyle name="40% - Accent5" xfId="249" builtinId="47" customBuiltin="1"/>
    <cellStyle name="40% - Accent5 2" xfId="19" xr:uid="{00000000-0005-0000-0000-000015000000}"/>
    <cellStyle name="40% - Accent6" xfId="253" builtinId="51" customBuiltin="1"/>
    <cellStyle name="40% - Accent6 2" xfId="20" xr:uid="{00000000-0005-0000-0000-000017000000}"/>
    <cellStyle name="60% - Accent1" xfId="234" builtinId="32" customBuiltin="1"/>
    <cellStyle name="60% - Accent1 2" xfId="21" xr:uid="{00000000-0005-0000-0000-000019000000}"/>
    <cellStyle name="60% - Accent2" xfId="238" builtinId="36" customBuiltin="1"/>
    <cellStyle name="60% - Accent2 2" xfId="22" xr:uid="{00000000-0005-0000-0000-00001B000000}"/>
    <cellStyle name="60% - Accent3" xfId="242" builtinId="40" customBuiltin="1"/>
    <cellStyle name="60% - Accent3 2" xfId="23" xr:uid="{00000000-0005-0000-0000-00001D000000}"/>
    <cellStyle name="60% - Accent4" xfId="246" builtinId="44" customBuiltin="1"/>
    <cellStyle name="60% - Accent4 2" xfId="24" xr:uid="{00000000-0005-0000-0000-00001F000000}"/>
    <cellStyle name="60% - Accent5" xfId="250" builtinId="48" customBuiltin="1"/>
    <cellStyle name="60% - Accent5 2" xfId="25" xr:uid="{00000000-0005-0000-0000-000021000000}"/>
    <cellStyle name="60% - Accent6" xfId="254" builtinId="52" customBuiltin="1"/>
    <cellStyle name="60% - Accent6 2" xfId="26" xr:uid="{00000000-0005-0000-0000-000023000000}"/>
    <cellStyle name="Accent1" xfId="231" builtinId="29" customBuiltin="1"/>
    <cellStyle name="Accent1 2" xfId="27" xr:uid="{00000000-0005-0000-0000-000025000000}"/>
    <cellStyle name="Accent2" xfId="235" builtinId="33" customBuiltin="1"/>
    <cellStyle name="Accent2 2" xfId="28" xr:uid="{00000000-0005-0000-0000-000027000000}"/>
    <cellStyle name="Accent3" xfId="239" builtinId="37" customBuiltin="1"/>
    <cellStyle name="Accent3 2" xfId="29" xr:uid="{00000000-0005-0000-0000-000029000000}"/>
    <cellStyle name="Accent4" xfId="243" builtinId="41" customBuiltin="1"/>
    <cellStyle name="Accent4 2" xfId="30" xr:uid="{00000000-0005-0000-0000-00002B000000}"/>
    <cellStyle name="Accent5" xfId="247" builtinId="45" customBuiltin="1"/>
    <cellStyle name="Accent5 2" xfId="31" xr:uid="{00000000-0005-0000-0000-00002D000000}"/>
    <cellStyle name="Accent6" xfId="251" builtinId="49" customBuiltin="1"/>
    <cellStyle name="Accent6 2" xfId="32" xr:uid="{00000000-0005-0000-0000-00002F000000}"/>
    <cellStyle name="Bad" xfId="220" builtinId="27" customBuiltin="1"/>
    <cellStyle name="Bad 2" xfId="33" xr:uid="{00000000-0005-0000-0000-000031000000}"/>
    <cellStyle name="Bad 3" xfId="34" xr:uid="{00000000-0005-0000-0000-000032000000}"/>
    <cellStyle name="Body: normal cell" xfId="35" xr:uid="{00000000-0005-0000-0000-000033000000}"/>
    <cellStyle name="Calculation" xfId="224" builtinId="22" customBuiltin="1"/>
    <cellStyle name="Calculation 2" xfId="36" xr:uid="{00000000-0005-0000-0000-000035000000}"/>
    <cellStyle name="Calculation 2 2" xfId="266" xr:uid="{00000000-0005-0000-0000-000036000000}"/>
    <cellStyle name="Calculation 2 3" xfId="267" xr:uid="{00000000-0005-0000-0000-000037000000}"/>
    <cellStyle name="Check Cell" xfId="226" builtinId="23" customBuiltin="1"/>
    <cellStyle name="Check Cell 2" xfId="37" xr:uid="{00000000-0005-0000-0000-000039000000}"/>
    <cellStyle name="Comma" xfId="258" builtinId="3"/>
    <cellStyle name="Comma [0] 2" xfId="38" xr:uid="{00000000-0005-0000-0000-00003B000000}"/>
    <cellStyle name="Comma 10" xfId="39" xr:uid="{00000000-0005-0000-0000-00003C000000}"/>
    <cellStyle name="Comma 11" xfId="40" xr:uid="{00000000-0005-0000-0000-00003D000000}"/>
    <cellStyle name="Comma 12" xfId="360" xr:uid="{00000000-0005-0000-0000-00003E000000}"/>
    <cellStyle name="Comma 12 2" xfId="361" xr:uid="{00000000-0005-0000-0000-00003F000000}"/>
    <cellStyle name="Comma 12 2 2" xfId="362" xr:uid="{00000000-0005-0000-0000-000040000000}"/>
    <cellStyle name="Comma 13" xfId="363" xr:uid="{00000000-0005-0000-0000-000041000000}"/>
    <cellStyle name="Comma 14" xfId="364" xr:uid="{00000000-0005-0000-0000-000042000000}"/>
    <cellStyle name="Comma 2" xfId="41" xr:uid="{00000000-0005-0000-0000-000043000000}"/>
    <cellStyle name="Comma 2 2" xfId="42" xr:uid="{00000000-0005-0000-0000-000044000000}"/>
    <cellStyle name="Comma 2 2 2" xfId="268" xr:uid="{00000000-0005-0000-0000-000045000000}"/>
    <cellStyle name="Comma 2 3" xfId="43" xr:uid="{00000000-0005-0000-0000-000046000000}"/>
    <cellStyle name="Comma 3" xfId="44" xr:uid="{00000000-0005-0000-0000-000047000000}"/>
    <cellStyle name="Comma 3 2" xfId="45" xr:uid="{00000000-0005-0000-0000-000048000000}"/>
    <cellStyle name="Comma 3 3" xfId="46" xr:uid="{00000000-0005-0000-0000-000049000000}"/>
    <cellStyle name="Comma 3 4" xfId="269" xr:uid="{00000000-0005-0000-0000-00004A000000}"/>
    <cellStyle name="Comma 4" xfId="47" xr:uid="{00000000-0005-0000-0000-00004B000000}"/>
    <cellStyle name="Comma 4 2" xfId="48" xr:uid="{00000000-0005-0000-0000-00004C000000}"/>
    <cellStyle name="Comma 5" xfId="49" xr:uid="{00000000-0005-0000-0000-00004D000000}"/>
    <cellStyle name="Comma 5 2" xfId="50" xr:uid="{00000000-0005-0000-0000-00004E000000}"/>
    <cellStyle name="Comma 5 3" xfId="270" xr:uid="{00000000-0005-0000-0000-00004F000000}"/>
    <cellStyle name="Comma 6" xfId="51" xr:uid="{00000000-0005-0000-0000-000050000000}"/>
    <cellStyle name="Comma 6 2" xfId="52" xr:uid="{00000000-0005-0000-0000-000051000000}"/>
    <cellStyle name="Comma 7" xfId="53" xr:uid="{00000000-0005-0000-0000-000052000000}"/>
    <cellStyle name="Comma 7 2" xfId="54" xr:uid="{00000000-0005-0000-0000-000053000000}"/>
    <cellStyle name="Comma 7 3" xfId="259" xr:uid="{00000000-0005-0000-0000-000054000000}"/>
    <cellStyle name="Comma 8" xfId="55" xr:uid="{00000000-0005-0000-0000-000055000000}"/>
    <cellStyle name="Comma 9" xfId="56" xr:uid="{00000000-0005-0000-0000-000056000000}"/>
    <cellStyle name="Currency" xfId="1" builtinId="4"/>
    <cellStyle name="Currency [0] 2" xfId="57" xr:uid="{00000000-0005-0000-0000-000058000000}"/>
    <cellStyle name="Currency 10" xfId="271" xr:uid="{00000000-0005-0000-0000-000059000000}"/>
    <cellStyle name="Currency 11" xfId="272" xr:uid="{00000000-0005-0000-0000-00005A000000}"/>
    <cellStyle name="Currency 12" xfId="273" xr:uid="{00000000-0005-0000-0000-00005B000000}"/>
    <cellStyle name="Currency 13" xfId="274" xr:uid="{00000000-0005-0000-0000-00005C000000}"/>
    <cellStyle name="Currency 14" xfId="275" xr:uid="{00000000-0005-0000-0000-00005D000000}"/>
    <cellStyle name="Currency 15" xfId="276" xr:uid="{00000000-0005-0000-0000-00005E000000}"/>
    <cellStyle name="Currency 16" xfId="277" xr:uid="{00000000-0005-0000-0000-00005F000000}"/>
    <cellStyle name="Currency 17" xfId="278" xr:uid="{00000000-0005-0000-0000-000060000000}"/>
    <cellStyle name="Currency 18" xfId="279" xr:uid="{00000000-0005-0000-0000-000061000000}"/>
    <cellStyle name="Currency 19" xfId="280" xr:uid="{00000000-0005-0000-0000-000062000000}"/>
    <cellStyle name="Currency 2" xfId="4" xr:uid="{00000000-0005-0000-0000-000063000000}"/>
    <cellStyle name="Currency 2 2" xfId="58" xr:uid="{00000000-0005-0000-0000-000064000000}"/>
    <cellStyle name="Currency 2 2 2" xfId="59" xr:uid="{00000000-0005-0000-0000-000065000000}"/>
    <cellStyle name="Currency 2 2 2 2" xfId="60" xr:uid="{00000000-0005-0000-0000-000066000000}"/>
    <cellStyle name="Currency 2 2 2 3" xfId="61" xr:uid="{00000000-0005-0000-0000-000067000000}"/>
    <cellStyle name="Currency 2 3" xfId="62" xr:uid="{00000000-0005-0000-0000-000068000000}"/>
    <cellStyle name="Currency 2 3 2" xfId="261" xr:uid="{00000000-0005-0000-0000-000069000000}"/>
    <cellStyle name="Currency 2 4" xfId="63" xr:uid="{00000000-0005-0000-0000-00006A000000}"/>
    <cellStyle name="Currency 2 4 2" xfId="281" xr:uid="{00000000-0005-0000-0000-00006B000000}"/>
    <cellStyle name="Currency 2 5" xfId="282" xr:uid="{00000000-0005-0000-0000-00006C000000}"/>
    <cellStyle name="Currency 2 6" xfId="260" xr:uid="{00000000-0005-0000-0000-00006D000000}"/>
    <cellStyle name="Currency 20" xfId="283" xr:uid="{00000000-0005-0000-0000-00006E000000}"/>
    <cellStyle name="Currency 21" xfId="284" xr:uid="{00000000-0005-0000-0000-00006F000000}"/>
    <cellStyle name="Currency 22" xfId="285" xr:uid="{00000000-0005-0000-0000-000070000000}"/>
    <cellStyle name="Currency 23" xfId="286" xr:uid="{00000000-0005-0000-0000-000071000000}"/>
    <cellStyle name="Currency 24" xfId="287" xr:uid="{00000000-0005-0000-0000-000072000000}"/>
    <cellStyle name="Currency 25" xfId="288" xr:uid="{00000000-0005-0000-0000-000073000000}"/>
    <cellStyle name="Currency 26" xfId="289" xr:uid="{00000000-0005-0000-0000-000074000000}"/>
    <cellStyle name="Currency 27" xfId="290" xr:uid="{00000000-0005-0000-0000-000075000000}"/>
    <cellStyle name="Currency 28" xfId="291" xr:uid="{00000000-0005-0000-0000-000076000000}"/>
    <cellStyle name="Currency 29" xfId="292" xr:uid="{00000000-0005-0000-0000-000077000000}"/>
    <cellStyle name="Currency 3" xfId="64" xr:uid="{00000000-0005-0000-0000-000078000000}"/>
    <cellStyle name="Currency 3 2" xfId="65" xr:uid="{00000000-0005-0000-0000-000079000000}"/>
    <cellStyle name="Currency 3 3" xfId="66" xr:uid="{00000000-0005-0000-0000-00007A000000}"/>
    <cellStyle name="Currency 3 4" xfId="67" xr:uid="{00000000-0005-0000-0000-00007B000000}"/>
    <cellStyle name="Currency 3 5" xfId="68" xr:uid="{00000000-0005-0000-0000-00007C000000}"/>
    <cellStyle name="Currency 30" xfId="293" xr:uid="{00000000-0005-0000-0000-00007D000000}"/>
    <cellStyle name="Currency 31" xfId="294" xr:uid="{00000000-0005-0000-0000-00007E000000}"/>
    <cellStyle name="Currency 32" xfId="295" xr:uid="{00000000-0005-0000-0000-00007F000000}"/>
    <cellStyle name="Currency 33" xfId="296" xr:uid="{00000000-0005-0000-0000-000080000000}"/>
    <cellStyle name="Currency 34" xfId="297" xr:uid="{00000000-0005-0000-0000-000081000000}"/>
    <cellStyle name="Currency 35" xfId="298" xr:uid="{00000000-0005-0000-0000-000082000000}"/>
    <cellStyle name="Currency 36" xfId="299" xr:uid="{00000000-0005-0000-0000-000083000000}"/>
    <cellStyle name="Currency 37" xfId="300" xr:uid="{00000000-0005-0000-0000-000084000000}"/>
    <cellStyle name="Currency 38" xfId="301" xr:uid="{00000000-0005-0000-0000-000085000000}"/>
    <cellStyle name="Currency 39" xfId="302" xr:uid="{00000000-0005-0000-0000-000086000000}"/>
    <cellStyle name="Currency 4" xfId="69" xr:uid="{00000000-0005-0000-0000-000087000000}"/>
    <cellStyle name="Currency 4 2" xfId="70" xr:uid="{00000000-0005-0000-0000-000088000000}"/>
    <cellStyle name="Currency 4 2 2" xfId="71" xr:uid="{00000000-0005-0000-0000-000089000000}"/>
    <cellStyle name="Currency 4 2 2 2" xfId="72" xr:uid="{00000000-0005-0000-0000-00008A000000}"/>
    <cellStyle name="Currency 4 2 2 3" xfId="303" xr:uid="{00000000-0005-0000-0000-00008B000000}"/>
    <cellStyle name="Currency 4 2 3" xfId="73" xr:uid="{00000000-0005-0000-0000-00008C000000}"/>
    <cellStyle name="Currency 4 3" xfId="74" xr:uid="{00000000-0005-0000-0000-00008D000000}"/>
    <cellStyle name="Currency 4 3 2" xfId="75" xr:uid="{00000000-0005-0000-0000-00008E000000}"/>
    <cellStyle name="Currency 4 3 3" xfId="76" xr:uid="{00000000-0005-0000-0000-00008F000000}"/>
    <cellStyle name="Currency 4 4" xfId="77" xr:uid="{00000000-0005-0000-0000-000090000000}"/>
    <cellStyle name="Currency 4 5" xfId="78" xr:uid="{00000000-0005-0000-0000-000091000000}"/>
    <cellStyle name="Currency 40" xfId="304" xr:uid="{00000000-0005-0000-0000-000092000000}"/>
    <cellStyle name="Currency 41" xfId="305" xr:uid="{00000000-0005-0000-0000-000093000000}"/>
    <cellStyle name="Currency 42" xfId="306" xr:uid="{00000000-0005-0000-0000-000094000000}"/>
    <cellStyle name="Currency 43" xfId="307" xr:uid="{00000000-0005-0000-0000-000095000000}"/>
    <cellStyle name="Currency 44" xfId="308" xr:uid="{00000000-0005-0000-0000-000096000000}"/>
    <cellStyle name="Currency 45" xfId="309" xr:uid="{00000000-0005-0000-0000-000097000000}"/>
    <cellStyle name="Currency 46" xfId="310" xr:uid="{00000000-0005-0000-0000-000098000000}"/>
    <cellStyle name="Currency 5" xfId="79" xr:uid="{00000000-0005-0000-0000-000099000000}"/>
    <cellStyle name="Currency 5 2" xfId="80" xr:uid="{00000000-0005-0000-0000-00009A000000}"/>
    <cellStyle name="Currency 5 2 2" xfId="81" xr:uid="{00000000-0005-0000-0000-00009B000000}"/>
    <cellStyle name="Currency 5 3" xfId="82" xr:uid="{00000000-0005-0000-0000-00009C000000}"/>
    <cellStyle name="Currency 5 3 2" xfId="83" xr:uid="{00000000-0005-0000-0000-00009D000000}"/>
    <cellStyle name="Currency 5 3 3" xfId="84" xr:uid="{00000000-0005-0000-0000-00009E000000}"/>
    <cellStyle name="Currency 5 4" xfId="85" xr:uid="{00000000-0005-0000-0000-00009F000000}"/>
    <cellStyle name="Currency 5 5" xfId="86" xr:uid="{00000000-0005-0000-0000-0000A0000000}"/>
    <cellStyle name="Currency 5 6" xfId="87" xr:uid="{00000000-0005-0000-0000-0000A1000000}"/>
    <cellStyle name="Currency 6" xfId="88" xr:uid="{00000000-0005-0000-0000-0000A2000000}"/>
    <cellStyle name="Currency 6 2" xfId="89" xr:uid="{00000000-0005-0000-0000-0000A3000000}"/>
    <cellStyle name="Currency 6 3" xfId="312" xr:uid="{00000000-0005-0000-0000-0000A4000000}"/>
    <cellStyle name="Currency 6 4" xfId="311" xr:uid="{00000000-0005-0000-0000-0000A5000000}"/>
    <cellStyle name="Currency 7" xfId="90" xr:uid="{00000000-0005-0000-0000-0000A6000000}"/>
    <cellStyle name="Currency 7 2" xfId="313" xr:uid="{00000000-0005-0000-0000-0000A7000000}"/>
    <cellStyle name="Currency 7 3" xfId="314" xr:uid="{00000000-0005-0000-0000-0000A8000000}"/>
    <cellStyle name="Currency 8" xfId="91" xr:uid="{00000000-0005-0000-0000-0000A9000000}"/>
    <cellStyle name="Currency 8 2" xfId="92" xr:uid="{00000000-0005-0000-0000-0000AA000000}"/>
    <cellStyle name="Currency 8 3" xfId="315" xr:uid="{00000000-0005-0000-0000-0000AB000000}"/>
    <cellStyle name="Currency 9" xfId="93" xr:uid="{00000000-0005-0000-0000-0000AC000000}"/>
    <cellStyle name="Explanatory Text" xfId="229" builtinId="53" customBuiltin="1"/>
    <cellStyle name="Explanatory Text 2" xfId="94" xr:uid="{00000000-0005-0000-0000-0000AE000000}"/>
    <cellStyle name="Explanatory Text 2 2" xfId="316" xr:uid="{00000000-0005-0000-0000-0000AF000000}"/>
    <cellStyle name="Explanatory Text 2 3" xfId="317" xr:uid="{00000000-0005-0000-0000-0000B0000000}"/>
    <cellStyle name="Font: Calibri, 9pt regular" xfId="95" xr:uid="{00000000-0005-0000-0000-0000B1000000}"/>
    <cellStyle name="Footnotes: top row" xfId="96" xr:uid="{00000000-0005-0000-0000-0000B2000000}"/>
    <cellStyle name="Good" xfId="219" builtinId="26" customBuiltin="1"/>
    <cellStyle name="Good 2" xfId="97" xr:uid="{00000000-0005-0000-0000-0000B4000000}"/>
    <cellStyle name="Header: bottom row" xfId="98" xr:uid="{00000000-0005-0000-0000-0000B5000000}"/>
    <cellStyle name="Heading 1" xfId="215" builtinId="16" customBuiltin="1"/>
    <cellStyle name="Heading 1 2" xfId="99" xr:uid="{00000000-0005-0000-0000-0000B7000000}"/>
    <cellStyle name="Heading 1 2 2" xfId="318" xr:uid="{00000000-0005-0000-0000-0000B8000000}"/>
    <cellStyle name="Heading 1 2 3" xfId="319" xr:uid="{00000000-0005-0000-0000-0000B9000000}"/>
    <cellStyle name="Heading 2" xfId="216" builtinId="17" customBuiltin="1"/>
    <cellStyle name="Heading 2 2" xfId="100" xr:uid="{00000000-0005-0000-0000-0000BB000000}"/>
    <cellStyle name="Heading 2 2 2" xfId="320" xr:uid="{00000000-0005-0000-0000-0000BC000000}"/>
    <cellStyle name="Heading 2 2 3" xfId="321" xr:uid="{00000000-0005-0000-0000-0000BD000000}"/>
    <cellStyle name="Heading 3" xfId="217" builtinId="18" customBuiltin="1"/>
    <cellStyle name="Heading 3 2" xfId="101" xr:uid="{00000000-0005-0000-0000-0000BF000000}"/>
    <cellStyle name="Heading 3 2 2" xfId="322" xr:uid="{00000000-0005-0000-0000-0000C0000000}"/>
    <cellStyle name="Heading 3 2 3" xfId="323" xr:uid="{00000000-0005-0000-0000-0000C1000000}"/>
    <cellStyle name="Heading 4" xfId="218" builtinId="19" customBuiltin="1"/>
    <cellStyle name="Heading 4 2" xfId="102" xr:uid="{00000000-0005-0000-0000-0000C3000000}"/>
    <cellStyle name="Heading 4 2 2" xfId="324" xr:uid="{00000000-0005-0000-0000-0000C4000000}"/>
    <cellStyle name="Heading 4 2 3" xfId="325" xr:uid="{00000000-0005-0000-0000-0000C5000000}"/>
    <cellStyle name="Hyperlink 2" xfId="103" xr:uid="{00000000-0005-0000-0000-0000C6000000}"/>
    <cellStyle name="Hyperlink 3" xfId="375" xr:uid="{00000000-0005-0000-0000-0000C7000000}"/>
    <cellStyle name="Input" xfId="222" builtinId="20" customBuiltin="1"/>
    <cellStyle name="Input 2" xfId="104" xr:uid="{00000000-0005-0000-0000-0000C9000000}"/>
    <cellStyle name="Input 2 2" xfId="326" xr:uid="{00000000-0005-0000-0000-0000CA000000}"/>
    <cellStyle name="Input 2 3" xfId="327" xr:uid="{00000000-0005-0000-0000-0000CB000000}"/>
    <cellStyle name="Linked Cell" xfId="225" builtinId="24" customBuiltin="1"/>
    <cellStyle name="Linked Cell 2" xfId="105" xr:uid="{00000000-0005-0000-0000-0000CD000000}"/>
    <cellStyle name="Linked Cell 2 2" xfId="328" xr:uid="{00000000-0005-0000-0000-0000CE000000}"/>
    <cellStyle name="Linked Cell 2 3" xfId="329" xr:uid="{00000000-0005-0000-0000-0000CF000000}"/>
    <cellStyle name="Neutral" xfId="221" builtinId="28" customBuiltin="1"/>
    <cellStyle name="Neutral 2" xfId="106" xr:uid="{00000000-0005-0000-0000-0000D1000000}"/>
    <cellStyle name="Normal" xfId="0" builtinId="0"/>
    <cellStyle name="Normal 10" xfId="107" xr:uid="{00000000-0005-0000-0000-0000D3000000}"/>
    <cellStyle name="Normal 10 2" xfId="108" xr:uid="{00000000-0005-0000-0000-0000D4000000}"/>
    <cellStyle name="Normal 10 2 2" xfId="205" xr:uid="{00000000-0005-0000-0000-0000D5000000}"/>
    <cellStyle name="Normal 10 3" xfId="109" xr:uid="{00000000-0005-0000-0000-0000D6000000}"/>
    <cellStyle name="Normal 10 3 2" xfId="110" xr:uid="{00000000-0005-0000-0000-0000D7000000}"/>
    <cellStyle name="Normal 10 3 3" xfId="206" xr:uid="{00000000-0005-0000-0000-0000D8000000}"/>
    <cellStyle name="Normal 11" xfId="111" xr:uid="{00000000-0005-0000-0000-0000D9000000}"/>
    <cellStyle name="Normal 11 2" xfId="112" xr:uid="{00000000-0005-0000-0000-0000DA000000}"/>
    <cellStyle name="Normal 11 2 2" xfId="113" xr:uid="{00000000-0005-0000-0000-0000DB000000}"/>
    <cellStyle name="Normal 12" xfId="114" xr:uid="{00000000-0005-0000-0000-0000DC000000}"/>
    <cellStyle name="Normal 13" xfId="115" xr:uid="{00000000-0005-0000-0000-0000DD000000}"/>
    <cellStyle name="Normal 13 2" xfId="116" xr:uid="{00000000-0005-0000-0000-0000DE000000}"/>
    <cellStyle name="Normal 14" xfId="8" xr:uid="{00000000-0005-0000-0000-0000DF000000}"/>
    <cellStyle name="Normal 14 2" xfId="117" xr:uid="{00000000-0005-0000-0000-0000E0000000}"/>
    <cellStyle name="Normal 15" xfId="118" xr:uid="{00000000-0005-0000-0000-0000E1000000}"/>
    <cellStyle name="Normal 16" xfId="119" xr:uid="{00000000-0005-0000-0000-0000E2000000}"/>
    <cellStyle name="Normal 17" xfId="120" xr:uid="{00000000-0005-0000-0000-0000E3000000}"/>
    <cellStyle name="Normal 17 2" xfId="121" xr:uid="{00000000-0005-0000-0000-0000E4000000}"/>
    <cellStyle name="Normal 18" xfId="122" xr:uid="{00000000-0005-0000-0000-0000E5000000}"/>
    <cellStyle name="Normal 19" xfId="123" xr:uid="{00000000-0005-0000-0000-0000E6000000}"/>
    <cellStyle name="Normal 2" xfId="3" xr:uid="{00000000-0005-0000-0000-0000E7000000}"/>
    <cellStyle name="Normal 2 2" xfId="124" xr:uid="{00000000-0005-0000-0000-0000E8000000}"/>
    <cellStyle name="Normal 2 2 2" xfId="5" xr:uid="{00000000-0005-0000-0000-0000E9000000}"/>
    <cellStyle name="Normal 2 2 2 2" xfId="6" xr:uid="{00000000-0005-0000-0000-0000EA000000}"/>
    <cellStyle name="Normal 2 2 3" xfId="125" xr:uid="{00000000-0005-0000-0000-0000EB000000}"/>
    <cellStyle name="Normal 2 3" xfId="126" xr:uid="{00000000-0005-0000-0000-0000EC000000}"/>
    <cellStyle name="Normal 2 3 2" xfId="330" xr:uid="{00000000-0005-0000-0000-0000ED000000}"/>
    <cellStyle name="Normal 2 3 3 2" xfId="207" xr:uid="{00000000-0005-0000-0000-0000EE000000}"/>
    <cellStyle name="Normal 2 4" xfId="127" xr:uid="{00000000-0005-0000-0000-0000EF000000}"/>
    <cellStyle name="Normal 2 4 2" xfId="128" xr:uid="{00000000-0005-0000-0000-0000F0000000}"/>
    <cellStyle name="Normal 2 4 3" xfId="129" xr:uid="{00000000-0005-0000-0000-0000F1000000}"/>
    <cellStyle name="Normal 2 5" xfId="130" xr:uid="{00000000-0005-0000-0000-0000F2000000}"/>
    <cellStyle name="Normal 2 5 2" xfId="131" xr:uid="{00000000-0005-0000-0000-0000F3000000}"/>
    <cellStyle name="Normal 20" xfId="132" xr:uid="{00000000-0005-0000-0000-0000F4000000}"/>
    <cellStyle name="Normal 21" xfId="133" xr:uid="{00000000-0005-0000-0000-0000F5000000}"/>
    <cellStyle name="Normal 22" xfId="204" xr:uid="{00000000-0005-0000-0000-0000F6000000}"/>
    <cellStyle name="Normal 22 2" xfId="365" xr:uid="{00000000-0005-0000-0000-0000F7000000}"/>
    <cellStyle name="Normal 23" xfId="366" xr:uid="{00000000-0005-0000-0000-0000F8000000}"/>
    <cellStyle name="Normal 23 2" xfId="367" xr:uid="{00000000-0005-0000-0000-0000F9000000}"/>
    <cellStyle name="Normal 23 2 2" xfId="368" xr:uid="{00000000-0005-0000-0000-0000FA000000}"/>
    <cellStyle name="Normal 24" xfId="369" xr:uid="{00000000-0005-0000-0000-0000FB000000}"/>
    <cellStyle name="Normal 25" xfId="370" xr:uid="{00000000-0005-0000-0000-0000FC000000}"/>
    <cellStyle name="Normal 26" xfId="371" xr:uid="{00000000-0005-0000-0000-0000FD000000}"/>
    <cellStyle name="Normal 3" xfId="134" xr:uid="{00000000-0005-0000-0000-0000FE000000}"/>
    <cellStyle name="Normal 3 2" xfId="135" xr:uid="{00000000-0005-0000-0000-0000FF000000}"/>
    <cellStyle name="Normal 3 2 2" xfId="136" xr:uid="{00000000-0005-0000-0000-000000010000}"/>
    <cellStyle name="Normal 3 2 3" xfId="331" xr:uid="{00000000-0005-0000-0000-000001010000}"/>
    <cellStyle name="Normal 3 2 4" xfId="332" xr:uid="{00000000-0005-0000-0000-000002010000}"/>
    <cellStyle name="Normal 3 2 5" xfId="262" xr:uid="{00000000-0005-0000-0000-000003010000}"/>
    <cellStyle name="Normal 3 3" xfId="137" xr:uid="{00000000-0005-0000-0000-000004010000}"/>
    <cellStyle name="Normal 3 3 2" xfId="138" xr:uid="{00000000-0005-0000-0000-000005010000}"/>
    <cellStyle name="Normal 3 4" xfId="139" xr:uid="{00000000-0005-0000-0000-000006010000}"/>
    <cellStyle name="Normal 3 4 2" xfId="140" xr:uid="{00000000-0005-0000-0000-000007010000}"/>
    <cellStyle name="Normal 3 5" xfId="141" xr:uid="{00000000-0005-0000-0000-000008010000}"/>
    <cellStyle name="Normal 3 6" xfId="255" xr:uid="{00000000-0005-0000-0000-000009010000}"/>
    <cellStyle name="Normal 3 9" xfId="142" xr:uid="{00000000-0005-0000-0000-00000A010000}"/>
    <cellStyle name="Normal 4" xfId="143" xr:uid="{00000000-0005-0000-0000-00000B010000}"/>
    <cellStyle name="Normal 4 2" xfId="144" xr:uid="{00000000-0005-0000-0000-00000C010000}"/>
    <cellStyle name="Normal 4 2 2" xfId="145" xr:uid="{00000000-0005-0000-0000-00000D010000}"/>
    <cellStyle name="Normal 4 2 2 2" xfId="146" xr:uid="{00000000-0005-0000-0000-00000E010000}"/>
    <cellStyle name="Normal 4 2 3" xfId="147" xr:uid="{00000000-0005-0000-0000-00000F010000}"/>
    <cellStyle name="Normal 4 2 3 2" xfId="148" xr:uid="{00000000-0005-0000-0000-000010010000}"/>
    <cellStyle name="Normal 4 3" xfId="149" xr:uid="{00000000-0005-0000-0000-000011010000}"/>
    <cellStyle name="Normal 4 3 2" xfId="150" xr:uid="{00000000-0005-0000-0000-000012010000}"/>
    <cellStyle name="Normal 4 3 3" xfId="333" xr:uid="{00000000-0005-0000-0000-000013010000}"/>
    <cellStyle name="Normal 4 4" xfId="334" xr:uid="{00000000-0005-0000-0000-000014010000}"/>
    <cellStyle name="Normal 4 5" xfId="377" xr:uid="{BAC720B7-5EFD-4F7D-9150-8AC692C8FB6A}"/>
    <cellStyle name="Normal 41" xfId="374" xr:uid="{00000000-0005-0000-0000-000015010000}"/>
    <cellStyle name="Normal 5" xfId="151" xr:uid="{00000000-0005-0000-0000-000016010000}"/>
    <cellStyle name="Normal 5 2" xfId="152" xr:uid="{00000000-0005-0000-0000-000017010000}"/>
    <cellStyle name="Normal 5 2 2" xfId="212" xr:uid="{00000000-0005-0000-0000-000018010000}"/>
    <cellStyle name="Normal 5 3" xfId="209" xr:uid="{00000000-0005-0000-0000-000019010000}"/>
    <cellStyle name="Normal 5 4" xfId="256" xr:uid="{00000000-0005-0000-0000-00001A010000}"/>
    <cellStyle name="Normal 5 5" xfId="376" xr:uid="{F0AD2AB7-165C-431E-A251-9D5B5CD30DAB}"/>
    <cellStyle name="Normal 6" xfId="153" xr:uid="{00000000-0005-0000-0000-00001B010000}"/>
    <cellStyle name="Normal 6 2" xfId="154" xr:uid="{00000000-0005-0000-0000-00001C010000}"/>
    <cellStyle name="Normal 6 2 2" xfId="155" xr:uid="{00000000-0005-0000-0000-00001D010000}"/>
    <cellStyle name="Normal 6 2 2 2" xfId="213" xr:uid="{00000000-0005-0000-0000-00001E010000}"/>
    <cellStyle name="Normal 6 2 3" xfId="210" xr:uid="{00000000-0005-0000-0000-00001F010000}"/>
    <cellStyle name="Normal 6 2 4" xfId="335" xr:uid="{00000000-0005-0000-0000-000020010000}"/>
    <cellStyle name="Normal 6 3" xfId="156" xr:uid="{00000000-0005-0000-0000-000021010000}"/>
    <cellStyle name="Normal 6 4" xfId="257" xr:uid="{00000000-0005-0000-0000-000022010000}"/>
    <cellStyle name="Normal 6 4 2" xfId="336" xr:uid="{00000000-0005-0000-0000-000023010000}"/>
    <cellStyle name="Normal 6 5" xfId="373" xr:uid="{00000000-0005-0000-0000-000024010000}"/>
    <cellStyle name="Normal 7" xfId="157" xr:uid="{00000000-0005-0000-0000-000025010000}"/>
    <cellStyle name="Normal 7 2" xfId="158" xr:uid="{00000000-0005-0000-0000-000026010000}"/>
    <cellStyle name="Normal 7 3" xfId="159" xr:uid="{00000000-0005-0000-0000-000027010000}"/>
    <cellStyle name="Normal 8" xfId="160" xr:uid="{00000000-0005-0000-0000-000028010000}"/>
    <cellStyle name="Normal 8 2" xfId="161" xr:uid="{00000000-0005-0000-0000-000029010000}"/>
    <cellStyle name="Normal 8 3" xfId="162" xr:uid="{00000000-0005-0000-0000-00002A010000}"/>
    <cellStyle name="Normal 8 4" xfId="163" xr:uid="{00000000-0005-0000-0000-00002B010000}"/>
    <cellStyle name="Normal 8 5" xfId="164" xr:uid="{00000000-0005-0000-0000-00002C010000}"/>
    <cellStyle name="Normal 8 6" xfId="211" xr:uid="{00000000-0005-0000-0000-00002D010000}"/>
    <cellStyle name="Normal 9" xfId="165" xr:uid="{00000000-0005-0000-0000-00002E010000}"/>
    <cellStyle name="Normal 9 2" xfId="166" xr:uid="{00000000-0005-0000-0000-00002F010000}"/>
    <cellStyle name="Normal 9 2 2" xfId="167" xr:uid="{00000000-0005-0000-0000-000030010000}"/>
    <cellStyle name="Normal 9 2 3" xfId="168" xr:uid="{00000000-0005-0000-0000-000031010000}"/>
    <cellStyle name="Normal 9 3" xfId="169" xr:uid="{00000000-0005-0000-0000-000032010000}"/>
    <cellStyle name="Note" xfId="228" builtinId="10" customBuiltin="1"/>
    <cellStyle name="Note 2" xfId="170" xr:uid="{00000000-0005-0000-0000-000034010000}"/>
    <cellStyle name="Note 2 2" xfId="171" xr:uid="{00000000-0005-0000-0000-000035010000}"/>
    <cellStyle name="Note 2 3" xfId="337" xr:uid="{00000000-0005-0000-0000-000036010000}"/>
    <cellStyle name="Output" xfId="223" builtinId="21" customBuiltin="1"/>
    <cellStyle name="Output 2" xfId="172" xr:uid="{00000000-0005-0000-0000-000038010000}"/>
    <cellStyle name="Output 2 2" xfId="338" xr:uid="{00000000-0005-0000-0000-000039010000}"/>
    <cellStyle name="Output 2 3" xfId="339" xr:uid="{00000000-0005-0000-0000-00003A010000}"/>
    <cellStyle name="Parent row" xfId="173" xr:uid="{00000000-0005-0000-0000-00003B010000}"/>
    <cellStyle name="Percent" xfId="2" builtinId="5"/>
    <cellStyle name="Percent 10" xfId="174" xr:uid="{00000000-0005-0000-0000-00003D010000}"/>
    <cellStyle name="Percent 10 2" xfId="175" xr:uid="{00000000-0005-0000-0000-00003E010000}"/>
    <cellStyle name="Percent 11" xfId="176" xr:uid="{00000000-0005-0000-0000-00003F010000}"/>
    <cellStyle name="Percent 12" xfId="372" xr:uid="{00000000-0005-0000-0000-000040010000}"/>
    <cellStyle name="Percent 13" xfId="359" xr:uid="{00000000-0005-0000-0000-000041010000}"/>
    <cellStyle name="Percent 2" xfId="7" xr:uid="{00000000-0005-0000-0000-000042010000}"/>
    <cellStyle name="Percent 2 2" xfId="177" xr:uid="{00000000-0005-0000-0000-000043010000}"/>
    <cellStyle name="Percent 2 2 2" xfId="178" xr:uid="{00000000-0005-0000-0000-000044010000}"/>
    <cellStyle name="Percent 2 2 3" xfId="340" xr:uid="{00000000-0005-0000-0000-000045010000}"/>
    <cellStyle name="Percent 2 2 3 2" xfId="208" xr:uid="{00000000-0005-0000-0000-000046010000}"/>
    <cellStyle name="Percent 2 3" xfId="179" xr:uid="{00000000-0005-0000-0000-000047010000}"/>
    <cellStyle name="Percent 2 3 2" xfId="358" xr:uid="{00000000-0005-0000-0000-000048010000}"/>
    <cellStyle name="Percent 2 4" xfId="180" xr:uid="{00000000-0005-0000-0000-000049010000}"/>
    <cellStyle name="Percent 2 5" xfId="181" xr:uid="{00000000-0005-0000-0000-00004A010000}"/>
    <cellStyle name="Percent 3" xfId="182" xr:uid="{00000000-0005-0000-0000-00004B010000}"/>
    <cellStyle name="Percent 3 2" xfId="183" xr:uid="{00000000-0005-0000-0000-00004C010000}"/>
    <cellStyle name="Percent 3 2 2" xfId="184" xr:uid="{00000000-0005-0000-0000-00004D010000}"/>
    <cellStyle name="Percent 3 2 3" xfId="341" xr:uid="{00000000-0005-0000-0000-00004E010000}"/>
    <cellStyle name="Percent 3 3" xfId="342" xr:uid="{00000000-0005-0000-0000-00004F010000}"/>
    <cellStyle name="Percent 4" xfId="185" xr:uid="{00000000-0005-0000-0000-000050010000}"/>
    <cellStyle name="Percent 4 2" xfId="186" xr:uid="{00000000-0005-0000-0000-000051010000}"/>
    <cellStyle name="Percent 4 2 2" xfId="343" xr:uid="{00000000-0005-0000-0000-000052010000}"/>
    <cellStyle name="Percent 4 2 3" xfId="344" xr:uid="{00000000-0005-0000-0000-000053010000}"/>
    <cellStyle name="Percent 4 3" xfId="187" xr:uid="{00000000-0005-0000-0000-000054010000}"/>
    <cellStyle name="Percent 5" xfId="188" xr:uid="{00000000-0005-0000-0000-000055010000}"/>
    <cellStyle name="Percent 5 2" xfId="189" xr:uid="{00000000-0005-0000-0000-000056010000}"/>
    <cellStyle name="Percent 5 2 2" xfId="190" xr:uid="{00000000-0005-0000-0000-000057010000}"/>
    <cellStyle name="Percent 5 3" xfId="191" xr:uid="{00000000-0005-0000-0000-000058010000}"/>
    <cellStyle name="Percent 5 4" xfId="345" xr:uid="{00000000-0005-0000-0000-000059010000}"/>
    <cellStyle name="Percent 5 5" xfId="346" xr:uid="{00000000-0005-0000-0000-00005A010000}"/>
    <cellStyle name="Percent 6" xfId="192" xr:uid="{00000000-0005-0000-0000-00005B010000}"/>
    <cellStyle name="Percent 6 2" xfId="193" xr:uid="{00000000-0005-0000-0000-00005C010000}"/>
    <cellStyle name="Percent 6 2 2" xfId="264" xr:uid="{00000000-0005-0000-0000-00005D010000}"/>
    <cellStyle name="Percent 6 3" xfId="194" xr:uid="{00000000-0005-0000-0000-00005E010000}"/>
    <cellStyle name="Percent 6 4" xfId="347" xr:uid="{00000000-0005-0000-0000-00005F010000}"/>
    <cellStyle name="Percent 7" xfId="195" xr:uid="{00000000-0005-0000-0000-000060010000}"/>
    <cellStyle name="Percent 7 2" xfId="196" xr:uid="{00000000-0005-0000-0000-000061010000}"/>
    <cellStyle name="Percent 7 3" xfId="348" xr:uid="{00000000-0005-0000-0000-000062010000}"/>
    <cellStyle name="Percent 7 4" xfId="349" xr:uid="{00000000-0005-0000-0000-000063010000}"/>
    <cellStyle name="Percent 7 5" xfId="263" xr:uid="{00000000-0005-0000-0000-000064010000}"/>
    <cellStyle name="Percent 8" xfId="197" xr:uid="{00000000-0005-0000-0000-000065010000}"/>
    <cellStyle name="Percent 8 2" xfId="350" xr:uid="{00000000-0005-0000-0000-000066010000}"/>
    <cellStyle name="Percent 8 3" xfId="351" xr:uid="{00000000-0005-0000-0000-000067010000}"/>
    <cellStyle name="Percent 8 4" xfId="265" xr:uid="{00000000-0005-0000-0000-000068010000}"/>
    <cellStyle name="Percent 9" xfId="198" xr:uid="{00000000-0005-0000-0000-000069010000}"/>
    <cellStyle name="Percent 9 2" xfId="352" xr:uid="{00000000-0005-0000-0000-00006A010000}"/>
    <cellStyle name="Table title" xfId="199" xr:uid="{00000000-0005-0000-0000-00006B010000}"/>
    <cellStyle name="Title" xfId="214" builtinId="15" customBuiltin="1"/>
    <cellStyle name="Title 2" xfId="200" xr:uid="{00000000-0005-0000-0000-00006D010000}"/>
    <cellStyle name="Title 2 2" xfId="201" xr:uid="{00000000-0005-0000-0000-00006E010000}"/>
    <cellStyle name="Title 2 3" xfId="353" xr:uid="{00000000-0005-0000-0000-00006F010000}"/>
    <cellStyle name="Total" xfId="230" builtinId="25" customBuiltin="1"/>
    <cellStyle name="Total 2" xfId="202" xr:uid="{00000000-0005-0000-0000-000071010000}"/>
    <cellStyle name="Total 2 2" xfId="354" xr:uid="{00000000-0005-0000-0000-000072010000}"/>
    <cellStyle name="Total 2 3" xfId="355" xr:uid="{00000000-0005-0000-0000-000073010000}"/>
    <cellStyle name="Warning Text" xfId="227" builtinId="11" customBuiltin="1"/>
    <cellStyle name="Warning Text 2" xfId="203" xr:uid="{00000000-0005-0000-0000-000075010000}"/>
    <cellStyle name="Warning Text 2 2" xfId="356" xr:uid="{00000000-0005-0000-0000-000076010000}"/>
    <cellStyle name="Warning Text 2 3" xfId="357" xr:uid="{00000000-0005-0000-0000-00007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2038350</xdr:colOff>
      <xdr:row>27</xdr:row>
      <xdr:rowOff>9525</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3835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Administrative%20Services-POS%20Policy%20Office\Rate%20Setting\Rate%20Projects\In-Home%20Basic%20Living%20Supports-CMR%20423\FY23%20Rate%20Review\1.%20Materials\BLS%20Benchmarks%20for%20FY21%20FOI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Common\Administrative%20Services-POS%20Policy%20Office\Rate%20Setting\Rate%20Projects\Youth%20and%20Young%20Adults%20Support%20Services\5.%20Final%20Rate%20Documents\Final%20Post%20PH%20Models%20.%20Day%20Servi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DC  CNA  DC III"/>
      <sheetName val="Case Social Worker.Manager"/>
      <sheetName val="Clinical"/>
      <sheetName val="Nursing"/>
      <sheetName val="Management"/>
      <sheetName val="Therapies"/>
    </sheetNames>
    <sheetDataSet>
      <sheetData sheetId="0"/>
      <sheetData sheetId="1">
        <row r="7">
          <cell r="G7">
            <v>16.791999999999998</v>
          </cell>
        </row>
        <row r="11">
          <cell r="G11">
            <v>17.260000000000002</v>
          </cell>
        </row>
        <row r="20">
          <cell r="G20">
            <v>21.736000000000001</v>
          </cell>
        </row>
      </sheetData>
      <sheetData sheetId="2">
        <row r="4">
          <cell r="G4">
            <v>21.814999999999998</v>
          </cell>
        </row>
        <row r="10">
          <cell r="G10">
            <v>26.16</v>
          </cell>
        </row>
      </sheetData>
      <sheetData sheetId="3">
        <row r="5">
          <cell r="G5">
            <v>30.59</v>
          </cell>
        </row>
        <row r="9">
          <cell r="G9">
            <v>40.57</v>
          </cell>
        </row>
      </sheetData>
      <sheetData sheetId="4">
        <row r="2">
          <cell r="G2">
            <v>28.8</v>
          </cell>
        </row>
        <row r="6">
          <cell r="G6">
            <v>43.41</v>
          </cell>
        </row>
        <row r="11">
          <cell r="G11">
            <v>59.6</v>
          </cell>
        </row>
      </sheetData>
      <sheetData sheetId="5">
        <row r="2">
          <cell r="G2">
            <v>33.46153846153846</v>
          </cell>
          <cell r="H2">
            <v>69600</v>
          </cell>
        </row>
      </sheetData>
      <sheetData sheetId="6">
        <row r="2">
          <cell r="E2">
            <v>31.99</v>
          </cell>
        </row>
        <row r="8">
          <cell r="E8">
            <v>34.022499999999994</v>
          </cell>
        </row>
        <row r="14">
          <cell r="E14">
            <v>36.380000000000003</v>
          </cell>
        </row>
        <row r="18">
          <cell r="E18">
            <v>37.751999999999995</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Impact "/>
      <sheetName val="Model I"/>
      <sheetName val="Model II"/>
      <sheetName val="Model III"/>
      <sheetName val="Model IV"/>
      <sheetName val="Clinc Add On"/>
      <sheetName val="DC or Peer Add On"/>
      <sheetName val="Pivots"/>
      <sheetName val="Salary"/>
      <sheetName val="Occupancy "/>
      <sheetName val="Spring 2016 Forecast"/>
      <sheetName val="VehicleAddOn"/>
      <sheetName val="DMH Contract Spend FY17"/>
      <sheetName val="FY17 Contracts Raw Data"/>
      <sheetName val="FY15 UFR Data"/>
    </sheetNames>
    <sheetDataSet>
      <sheetData sheetId="0" refreshError="1"/>
      <sheetData sheetId="1" refreshError="1"/>
      <sheetData sheetId="2" refreshError="1"/>
      <sheetData sheetId="3" refreshError="1"/>
      <sheetData sheetId="4" refreshError="1"/>
      <sheetData sheetId="5" refreshError="1"/>
      <sheetData sheetId="6"/>
      <sheetData sheetId="7">
        <row r="27">
          <cell r="E27">
            <v>0.10213346631589997</v>
          </cell>
        </row>
        <row r="28">
          <cell r="E28">
            <v>7.5016021950550016E-2</v>
          </cell>
        </row>
        <row r="29">
          <cell r="E29">
            <v>5.3120713381439047E-2</v>
          </cell>
        </row>
      </sheetData>
      <sheetData sheetId="8">
        <row r="28">
          <cell r="AD28">
            <v>31575.326535341828</v>
          </cell>
        </row>
      </sheetData>
      <sheetData sheetId="9" refreshError="1"/>
      <sheetData sheetId="10">
        <row r="26">
          <cell r="BM26">
            <v>4.3768475255077849E-2</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B1:L52"/>
  <sheetViews>
    <sheetView zoomScale="80" zoomScaleNormal="80" workbookViewId="0">
      <selection activeCell="C14" sqref="C14"/>
    </sheetView>
  </sheetViews>
  <sheetFormatPr defaultRowHeight="15"/>
  <cols>
    <col min="1" max="1" width="5.5703125" style="274" customWidth="1"/>
    <col min="2" max="2" width="58" style="274" customWidth="1"/>
    <col min="3" max="3" width="24.140625" style="274" customWidth="1"/>
    <col min="4" max="5" width="14.85546875" style="274" hidden="1" customWidth="1"/>
    <col min="6" max="6" width="59.5703125" style="274" customWidth="1"/>
    <col min="7" max="7" width="58.5703125" style="275" customWidth="1"/>
    <col min="8" max="8" width="14.85546875" style="274" hidden="1" customWidth="1"/>
    <col min="9" max="9" width="0" style="274" hidden="1" customWidth="1"/>
    <col min="10" max="10" width="11" style="274" hidden="1" customWidth="1"/>
    <col min="11" max="11" width="0" style="274" hidden="1" customWidth="1"/>
    <col min="12" max="12" width="44" style="275" customWidth="1"/>
    <col min="13" max="256" width="9.140625" style="274"/>
    <col min="257" max="257" width="5.5703125" style="274" customWidth="1"/>
    <col min="258" max="258" width="58" style="274" customWidth="1"/>
    <col min="259" max="259" width="24.140625" style="274" customWidth="1"/>
    <col min="260" max="261" width="0" style="274" hidden="1" customWidth="1"/>
    <col min="262" max="262" width="61.42578125" style="274" customWidth="1"/>
    <col min="263" max="263" width="62.140625" style="274" customWidth="1"/>
    <col min="264" max="267" width="0" style="274" hidden="1" customWidth="1"/>
    <col min="268" max="512" width="9.140625" style="274"/>
    <col min="513" max="513" width="5.5703125" style="274" customWidth="1"/>
    <col min="514" max="514" width="58" style="274" customWidth="1"/>
    <col min="515" max="515" width="24.140625" style="274" customWidth="1"/>
    <col min="516" max="517" width="0" style="274" hidden="1" customWidth="1"/>
    <col min="518" max="518" width="61.42578125" style="274" customWidth="1"/>
    <col min="519" max="519" width="62.140625" style="274" customWidth="1"/>
    <col min="520" max="523" width="0" style="274" hidden="1" customWidth="1"/>
    <col min="524" max="768" width="9.140625" style="274"/>
    <col min="769" max="769" width="5.5703125" style="274" customWidth="1"/>
    <col min="770" max="770" width="58" style="274" customWidth="1"/>
    <col min="771" max="771" width="24.140625" style="274" customWidth="1"/>
    <col min="772" max="773" width="0" style="274" hidden="1" customWidth="1"/>
    <col min="774" max="774" width="61.42578125" style="274" customWidth="1"/>
    <col min="775" max="775" width="62.140625" style="274" customWidth="1"/>
    <col min="776" max="779" width="0" style="274" hidden="1" customWidth="1"/>
    <col min="780" max="1024" width="9.140625" style="274"/>
    <col min="1025" max="1025" width="5.5703125" style="274" customWidth="1"/>
    <col min="1026" max="1026" width="58" style="274" customWidth="1"/>
    <col min="1027" max="1027" width="24.140625" style="274" customWidth="1"/>
    <col min="1028" max="1029" width="0" style="274" hidden="1" customWidth="1"/>
    <col min="1030" max="1030" width="61.42578125" style="274" customWidth="1"/>
    <col min="1031" max="1031" width="62.140625" style="274" customWidth="1"/>
    <col min="1032" max="1035" width="0" style="274" hidden="1" customWidth="1"/>
    <col min="1036" max="1280" width="9.140625" style="274"/>
    <col min="1281" max="1281" width="5.5703125" style="274" customWidth="1"/>
    <col min="1282" max="1282" width="58" style="274" customWidth="1"/>
    <col min="1283" max="1283" width="24.140625" style="274" customWidth="1"/>
    <col min="1284" max="1285" width="0" style="274" hidden="1" customWidth="1"/>
    <col min="1286" max="1286" width="61.42578125" style="274" customWidth="1"/>
    <col min="1287" max="1287" width="62.140625" style="274" customWidth="1"/>
    <col min="1288" max="1291" width="0" style="274" hidden="1" customWidth="1"/>
    <col min="1292" max="1536" width="9.140625" style="274"/>
    <col min="1537" max="1537" width="5.5703125" style="274" customWidth="1"/>
    <col min="1538" max="1538" width="58" style="274" customWidth="1"/>
    <col min="1539" max="1539" width="24.140625" style="274" customWidth="1"/>
    <col min="1540" max="1541" width="0" style="274" hidden="1" customWidth="1"/>
    <col min="1542" max="1542" width="61.42578125" style="274" customWidth="1"/>
    <col min="1543" max="1543" width="62.140625" style="274" customWidth="1"/>
    <col min="1544" max="1547" width="0" style="274" hidden="1" customWidth="1"/>
    <col min="1548" max="1792" width="9.140625" style="274"/>
    <col min="1793" max="1793" width="5.5703125" style="274" customWidth="1"/>
    <col min="1794" max="1794" width="58" style="274" customWidth="1"/>
    <col min="1795" max="1795" width="24.140625" style="274" customWidth="1"/>
    <col min="1796" max="1797" width="0" style="274" hidden="1" customWidth="1"/>
    <col min="1798" max="1798" width="61.42578125" style="274" customWidth="1"/>
    <col min="1799" max="1799" width="62.140625" style="274" customWidth="1"/>
    <col min="1800" max="1803" width="0" style="274" hidden="1" customWidth="1"/>
    <col min="1804" max="2048" width="9.140625" style="274"/>
    <col min="2049" max="2049" width="5.5703125" style="274" customWidth="1"/>
    <col min="2050" max="2050" width="58" style="274" customWidth="1"/>
    <col min="2051" max="2051" width="24.140625" style="274" customWidth="1"/>
    <col min="2052" max="2053" width="0" style="274" hidden="1" customWidth="1"/>
    <col min="2054" max="2054" width="61.42578125" style="274" customWidth="1"/>
    <col min="2055" max="2055" width="62.140625" style="274" customWidth="1"/>
    <col min="2056" max="2059" width="0" style="274" hidden="1" customWidth="1"/>
    <col min="2060" max="2304" width="9.140625" style="274"/>
    <col min="2305" max="2305" width="5.5703125" style="274" customWidth="1"/>
    <col min="2306" max="2306" width="58" style="274" customWidth="1"/>
    <col min="2307" max="2307" width="24.140625" style="274" customWidth="1"/>
    <col min="2308" max="2309" width="0" style="274" hidden="1" customWidth="1"/>
    <col min="2310" max="2310" width="61.42578125" style="274" customWidth="1"/>
    <col min="2311" max="2311" width="62.140625" style="274" customWidth="1"/>
    <col min="2312" max="2315" width="0" style="274" hidden="1" customWidth="1"/>
    <col min="2316" max="2560" width="9.140625" style="274"/>
    <col min="2561" max="2561" width="5.5703125" style="274" customWidth="1"/>
    <col min="2562" max="2562" width="58" style="274" customWidth="1"/>
    <col min="2563" max="2563" width="24.140625" style="274" customWidth="1"/>
    <col min="2564" max="2565" width="0" style="274" hidden="1" customWidth="1"/>
    <col min="2566" max="2566" width="61.42578125" style="274" customWidth="1"/>
    <col min="2567" max="2567" width="62.140625" style="274" customWidth="1"/>
    <col min="2568" max="2571" width="0" style="274" hidden="1" customWidth="1"/>
    <col min="2572" max="2816" width="9.140625" style="274"/>
    <col min="2817" max="2817" width="5.5703125" style="274" customWidth="1"/>
    <col min="2818" max="2818" width="58" style="274" customWidth="1"/>
    <col min="2819" max="2819" width="24.140625" style="274" customWidth="1"/>
    <col min="2820" max="2821" width="0" style="274" hidden="1" customWidth="1"/>
    <col min="2822" max="2822" width="61.42578125" style="274" customWidth="1"/>
    <col min="2823" max="2823" width="62.140625" style="274" customWidth="1"/>
    <col min="2824" max="2827" width="0" style="274" hidden="1" customWidth="1"/>
    <col min="2828" max="3072" width="9.140625" style="274"/>
    <col min="3073" max="3073" width="5.5703125" style="274" customWidth="1"/>
    <col min="3074" max="3074" width="58" style="274" customWidth="1"/>
    <col min="3075" max="3075" width="24.140625" style="274" customWidth="1"/>
    <col min="3076" max="3077" width="0" style="274" hidden="1" customWidth="1"/>
    <col min="3078" max="3078" width="61.42578125" style="274" customWidth="1"/>
    <col min="3079" max="3079" width="62.140625" style="274" customWidth="1"/>
    <col min="3080" max="3083" width="0" style="274" hidden="1" customWidth="1"/>
    <col min="3084" max="3328" width="9.140625" style="274"/>
    <col min="3329" max="3329" width="5.5703125" style="274" customWidth="1"/>
    <col min="3330" max="3330" width="58" style="274" customWidth="1"/>
    <col min="3331" max="3331" width="24.140625" style="274" customWidth="1"/>
    <col min="3332" max="3333" width="0" style="274" hidden="1" customWidth="1"/>
    <col min="3334" max="3334" width="61.42578125" style="274" customWidth="1"/>
    <col min="3335" max="3335" width="62.140625" style="274" customWidth="1"/>
    <col min="3336" max="3339" width="0" style="274" hidden="1" customWidth="1"/>
    <col min="3340" max="3584" width="9.140625" style="274"/>
    <col min="3585" max="3585" width="5.5703125" style="274" customWidth="1"/>
    <col min="3586" max="3586" width="58" style="274" customWidth="1"/>
    <col min="3587" max="3587" width="24.140625" style="274" customWidth="1"/>
    <col min="3588" max="3589" width="0" style="274" hidden="1" customWidth="1"/>
    <col min="3590" max="3590" width="61.42578125" style="274" customWidth="1"/>
    <col min="3591" max="3591" width="62.140625" style="274" customWidth="1"/>
    <col min="3592" max="3595" width="0" style="274" hidden="1" customWidth="1"/>
    <col min="3596" max="3840" width="9.140625" style="274"/>
    <col min="3841" max="3841" width="5.5703125" style="274" customWidth="1"/>
    <col min="3842" max="3842" width="58" style="274" customWidth="1"/>
    <col min="3843" max="3843" width="24.140625" style="274" customWidth="1"/>
    <col min="3844" max="3845" width="0" style="274" hidden="1" customWidth="1"/>
    <col min="3846" max="3846" width="61.42578125" style="274" customWidth="1"/>
    <col min="3847" max="3847" width="62.140625" style="274" customWidth="1"/>
    <col min="3848" max="3851" width="0" style="274" hidden="1" customWidth="1"/>
    <col min="3852" max="4096" width="9.140625" style="274"/>
    <col min="4097" max="4097" width="5.5703125" style="274" customWidth="1"/>
    <col min="4098" max="4098" width="58" style="274" customWidth="1"/>
    <col min="4099" max="4099" width="24.140625" style="274" customWidth="1"/>
    <col min="4100" max="4101" width="0" style="274" hidden="1" customWidth="1"/>
    <col min="4102" max="4102" width="61.42578125" style="274" customWidth="1"/>
    <col min="4103" max="4103" width="62.140625" style="274" customWidth="1"/>
    <col min="4104" max="4107" width="0" style="274" hidden="1" customWidth="1"/>
    <col min="4108" max="4352" width="9.140625" style="274"/>
    <col min="4353" max="4353" width="5.5703125" style="274" customWidth="1"/>
    <col min="4354" max="4354" width="58" style="274" customWidth="1"/>
    <col min="4355" max="4355" width="24.140625" style="274" customWidth="1"/>
    <col min="4356" max="4357" width="0" style="274" hidden="1" customWidth="1"/>
    <col min="4358" max="4358" width="61.42578125" style="274" customWidth="1"/>
    <col min="4359" max="4359" width="62.140625" style="274" customWidth="1"/>
    <col min="4360" max="4363" width="0" style="274" hidden="1" customWidth="1"/>
    <col min="4364" max="4608" width="9.140625" style="274"/>
    <col min="4609" max="4609" width="5.5703125" style="274" customWidth="1"/>
    <col min="4610" max="4610" width="58" style="274" customWidth="1"/>
    <col min="4611" max="4611" width="24.140625" style="274" customWidth="1"/>
    <col min="4612" max="4613" width="0" style="274" hidden="1" customWidth="1"/>
    <col min="4614" max="4614" width="61.42578125" style="274" customWidth="1"/>
    <col min="4615" max="4615" width="62.140625" style="274" customWidth="1"/>
    <col min="4616" max="4619" width="0" style="274" hidden="1" customWidth="1"/>
    <col min="4620" max="4864" width="9.140625" style="274"/>
    <col min="4865" max="4865" width="5.5703125" style="274" customWidth="1"/>
    <col min="4866" max="4866" width="58" style="274" customWidth="1"/>
    <col min="4867" max="4867" width="24.140625" style="274" customWidth="1"/>
    <col min="4868" max="4869" width="0" style="274" hidden="1" customWidth="1"/>
    <col min="4870" max="4870" width="61.42578125" style="274" customWidth="1"/>
    <col min="4871" max="4871" width="62.140625" style="274" customWidth="1"/>
    <col min="4872" max="4875" width="0" style="274" hidden="1" customWidth="1"/>
    <col min="4876" max="5120" width="9.140625" style="274"/>
    <col min="5121" max="5121" width="5.5703125" style="274" customWidth="1"/>
    <col min="5122" max="5122" width="58" style="274" customWidth="1"/>
    <col min="5123" max="5123" width="24.140625" style="274" customWidth="1"/>
    <col min="5124" max="5125" width="0" style="274" hidden="1" customWidth="1"/>
    <col min="5126" max="5126" width="61.42578125" style="274" customWidth="1"/>
    <col min="5127" max="5127" width="62.140625" style="274" customWidth="1"/>
    <col min="5128" max="5131" width="0" style="274" hidden="1" customWidth="1"/>
    <col min="5132" max="5376" width="9.140625" style="274"/>
    <col min="5377" max="5377" width="5.5703125" style="274" customWidth="1"/>
    <col min="5378" max="5378" width="58" style="274" customWidth="1"/>
    <col min="5379" max="5379" width="24.140625" style="274" customWidth="1"/>
    <col min="5380" max="5381" width="0" style="274" hidden="1" customWidth="1"/>
    <col min="5382" max="5382" width="61.42578125" style="274" customWidth="1"/>
    <col min="5383" max="5383" width="62.140625" style="274" customWidth="1"/>
    <col min="5384" max="5387" width="0" style="274" hidden="1" customWidth="1"/>
    <col min="5388" max="5632" width="9.140625" style="274"/>
    <col min="5633" max="5633" width="5.5703125" style="274" customWidth="1"/>
    <col min="5634" max="5634" width="58" style="274" customWidth="1"/>
    <col min="5635" max="5635" width="24.140625" style="274" customWidth="1"/>
    <col min="5636" max="5637" width="0" style="274" hidden="1" customWidth="1"/>
    <col min="5638" max="5638" width="61.42578125" style="274" customWidth="1"/>
    <col min="5639" max="5639" width="62.140625" style="274" customWidth="1"/>
    <col min="5640" max="5643" width="0" style="274" hidden="1" customWidth="1"/>
    <col min="5644" max="5888" width="9.140625" style="274"/>
    <col min="5889" max="5889" width="5.5703125" style="274" customWidth="1"/>
    <col min="5890" max="5890" width="58" style="274" customWidth="1"/>
    <col min="5891" max="5891" width="24.140625" style="274" customWidth="1"/>
    <col min="5892" max="5893" width="0" style="274" hidden="1" customWidth="1"/>
    <col min="5894" max="5894" width="61.42578125" style="274" customWidth="1"/>
    <col min="5895" max="5895" width="62.140625" style="274" customWidth="1"/>
    <col min="5896" max="5899" width="0" style="274" hidden="1" customWidth="1"/>
    <col min="5900" max="6144" width="9.140625" style="274"/>
    <col min="6145" max="6145" width="5.5703125" style="274" customWidth="1"/>
    <col min="6146" max="6146" width="58" style="274" customWidth="1"/>
    <col min="6147" max="6147" width="24.140625" style="274" customWidth="1"/>
    <col min="6148" max="6149" width="0" style="274" hidden="1" customWidth="1"/>
    <col min="6150" max="6150" width="61.42578125" style="274" customWidth="1"/>
    <col min="6151" max="6151" width="62.140625" style="274" customWidth="1"/>
    <col min="6152" max="6155" width="0" style="274" hidden="1" customWidth="1"/>
    <col min="6156" max="6400" width="9.140625" style="274"/>
    <col min="6401" max="6401" width="5.5703125" style="274" customWidth="1"/>
    <col min="6402" max="6402" width="58" style="274" customWidth="1"/>
    <col min="6403" max="6403" width="24.140625" style="274" customWidth="1"/>
    <col min="6404" max="6405" width="0" style="274" hidden="1" customWidth="1"/>
    <col min="6406" max="6406" width="61.42578125" style="274" customWidth="1"/>
    <col min="6407" max="6407" width="62.140625" style="274" customWidth="1"/>
    <col min="6408" max="6411" width="0" style="274" hidden="1" customWidth="1"/>
    <col min="6412" max="6656" width="9.140625" style="274"/>
    <col min="6657" max="6657" width="5.5703125" style="274" customWidth="1"/>
    <col min="6658" max="6658" width="58" style="274" customWidth="1"/>
    <col min="6659" max="6659" width="24.140625" style="274" customWidth="1"/>
    <col min="6660" max="6661" width="0" style="274" hidden="1" customWidth="1"/>
    <col min="6662" max="6662" width="61.42578125" style="274" customWidth="1"/>
    <col min="6663" max="6663" width="62.140625" style="274" customWidth="1"/>
    <col min="6664" max="6667" width="0" style="274" hidden="1" customWidth="1"/>
    <col min="6668" max="6912" width="9.140625" style="274"/>
    <col min="6913" max="6913" width="5.5703125" style="274" customWidth="1"/>
    <col min="6914" max="6914" width="58" style="274" customWidth="1"/>
    <col min="6915" max="6915" width="24.140625" style="274" customWidth="1"/>
    <col min="6916" max="6917" width="0" style="274" hidden="1" customWidth="1"/>
    <col min="6918" max="6918" width="61.42578125" style="274" customWidth="1"/>
    <col min="6919" max="6919" width="62.140625" style="274" customWidth="1"/>
    <col min="6920" max="6923" width="0" style="274" hidden="1" customWidth="1"/>
    <col min="6924" max="7168" width="9.140625" style="274"/>
    <col min="7169" max="7169" width="5.5703125" style="274" customWidth="1"/>
    <col min="7170" max="7170" width="58" style="274" customWidth="1"/>
    <col min="7171" max="7171" width="24.140625" style="274" customWidth="1"/>
    <col min="7172" max="7173" width="0" style="274" hidden="1" customWidth="1"/>
    <col min="7174" max="7174" width="61.42578125" style="274" customWidth="1"/>
    <col min="7175" max="7175" width="62.140625" style="274" customWidth="1"/>
    <col min="7176" max="7179" width="0" style="274" hidden="1" customWidth="1"/>
    <col min="7180" max="7424" width="9.140625" style="274"/>
    <col min="7425" max="7425" width="5.5703125" style="274" customWidth="1"/>
    <col min="7426" max="7426" width="58" style="274" customWidth="1"/>
    <col min="7427" max="7427" width="24.140625" style="274" customWidth="1"/>
    <col min="7428" max="7429" width="0" style="274" hidden="1" customWidth="1"/>
    <col min="7430" max="7430" width="61.42578125" style="274" customWidth="1"/>
    <col min="7431" max="7431" width="62.140625" style="274" customWidth="1"/>
    <col min="7432" max="7435" width="0" style="274" hidden="1" customWidth="1"/>
    <col min="7436" max="7680" width="9.140625" style="274"/>
    <col min="7681" max="7681" width="5.5703125" style="274" customWidth="1"/>
    <col min="7682" max="7682" width="58" style="274" customWidth="1"/>
    <col min="7683" max="7683" width="24.140625" style="274" customWidth="1"/>
    <col min="7684" max="7685" width="0" style="274" hidden="1" customWidth="1"/>
    <col min="7686" max="7686" width="61.42578125" style="274" customWidth="1"/>
    <col min="7687" max="7687" width="62.140625" style="274" customWidth="1"/>
    <col min="7688" max="7691" width="0" style="274" hidden="1" customWidth="1"/>
    <col min="7692" max="7936" width="9.140625" style="274"/>
    <col min="7937" max="7937" width="5.5703125" style="274" customWidth="1"/>
    <col min="7938" max="7938" width="58" style="274" customWidth="1"/>
    <col min="7939" max="7939" width="24.140625" style="274" customWidth="1"/>
    <col min="7940" max="7941" width="0" style="274" hidden="1" customWidth="1"/>
    <col min="7942" max="7942" width="61.42578125" style="274" customWidth="1"/>
    <col min="7943" max="7943" width="62.140625" style="274" customWidth="1"/>
    <col min="7944" max="7947" width="0" style="274" hidden="1" customWidth="1"/>
    <col min="7948" max="8192" width="9.140625" style="274"/>
    <col min="8193" max="8193" width="5.5703125" style="274" customWidth="1"/>
    <col min="8194" max="8194" width="58" style="274" customWidth="1"/>
    <col min="8195" max="8195" width="24.140625" style="274" customWidth="1"/>
    <col min="8196" max="8197" width="0" style="274" hidden="1" customWidth="1"/>
    <col min="8198" max="8198" width="61.42578125" style="274" customWidth="1"/>
    <col min="8199" max="8199" width="62.140625" style="274" customWidth="1"/>
    <col min="8200" max="8203" width="0" style="274" hidden="1" customWidth="1"/>
    <col min="8204" max="8448" width="9.140625" style="274"/>
    <col min="8449" max="8449" width="5.5703125" style="274" customWidth="1"/>
    <col min="8450" max="8450" width="58" style="274" customWidth="1"/>
    <col min="8451" max="8451" width="24.140625" style="274" customWidth="1"/>
    <col min="8452" max="8453" width="0" style="274" hidden="1" customWidth="1"/>
    <col min="8454" max="8454" width="61.42578125" style="274" customWidth="1"/>
    <col min="8455" max="8455" width="62.140625" style="274" customWidth="1"/>
    <col min="8456" max="8459" width="0" style="274" hidden="1" customWidth="1"/>
    <col min="8460" max="8704" width="9.140625" style="274"/>
    <col min="8705" max="8705" width="5.5703125" style="274" customWidth="1"/>
    <col min="8706" max="8706" width="58" style="274" customWidth="1"/>
    <col min="8707" max="8707" width="24.140625" style="274" customWidth="1"/>
    <col min="8708" max="8709" width="0" style="274" hidden="1" customWidth="1"/>
    <col min="8710" max="8710" width="61.42578125" style="274" customWidth="1"/>
    <col min="8711" max="8711" width="62.140625" style="274" customWidth="1"/>
    <col min="8712" max="8715" width="0" style="274" hidden="1" customWidth="1"/>
    <col min="8716" max="8960" width="9.140625" style="274"/>
    <col min="8961" max="8961" width="5.5703125" style="274" customWidth="1"/>
    <col min="8962" max="8962" width="58" style="274" customWidth="1"/>
    <col min="8963" max="8963" width="24.140625" style="274" customWidth="1"/>
    <col min="8964" max="8965" width="0" style="274" hidden="1" customWidth="1"/>
    <col min="8966" max="8966" width="61.42578125" style="274" customWidth="1"/>
    <col min="8967" max="8967" width="62.140625" style="274" customWidth="1"/>
    <col min="8968" max="8971" width="0" style="274" hidden="1" customWidth="1"/>
    <col min="8972" max="9216" width="9.140625" style="274"/>
    <col min="9217" max="9217" width="5.5703125" style="274" customWidth="1"/>
    <col min="9218" max="9218" width="58" style="274" customWidth="1"/>
    <col min="9219" max="9219" width="24.140625" style="274" customWidth="1"/>
    <col min="9220" max="9221" width="0" style="274" hidden="1" customWidth="1"/>
    <col min="9222" max="9222" width="61.42578125" style="274" customWidth="1"/>
    <col min="9223" max="9223" width="62.140625" style="274" customWidth="1"/>
    <col min="9224" max="9227" width="0" style="274" hidden="1" customWidth="1"/>
    <col min="9228" max="9472" width="9.140625" style="274"/>
    <col min="9473" max="9473" width="5.5703125" style="274" customWidth="1"/>
    <col min="9474" max="9474" width="58" style="274" customWidth="1"/>
    <col min="9475" max="9475" width="24.140625" style="274" customWidth="1"/>
    <col min="9476" max="9477" width="0" style="274" hidden="1" customWidth="1"/>
    <col min="9478" max="9478" width="61.42578125" style="274" customWidth="1"/>
    <col min="9479" max="9479" width="62.140625" style="274" customWidth="1"/>
    <col min="9480" max="9483" width="0" style="274" hidden="1" customWidth="1"/>
    <col min="9484" max="9728" width="9.140625" style="274"/>
    <col min="9729" max="9729" width="5.5703125" style="274" customWidth="1"/>
    <col min="9730" max="9730" width="58" style="274" customWidth="1"/>
    <col min="9731" max="9731" width="24.140625" style="274" customWidth="1"/>
    <col min="9732" max="9733" width="0" style="274" hidden="1" customWidth="1"/>
    <col min="9734" max="9734" width="61.42578125" style="274" customWidth="1"/>
    <col min="9735" max="9735" width="62.140625" style="274" customWidth="1"/>
    <col min="9736" max="9739" width="0" style="274" hidden="1" customWidth="1"/>
    <col min="9740" max="9984" width="9.140625" style="274"/>
    <col min="9985" max="9985" width="5.5703125" style="274" customWidth="1"/>
    <col min="9986" max="9986" width="58" style="274" customWidth="1"/>
    <col min="9987" max="9987" width="24.140625" style="274" customWidth="1"/>
    <col min="9988" max="9989" width="0" style="274" hidden="1" customWidth="1"/>
    <col min="9990" max="9990" width="61.42578125" style="274" customWidth="1"/>
    <col min="9991" max="9991" width="62.140625" style="274" customWidth="1"/>
    <col min="9992" max="9995" width="0" style="274" hidden="1" customWidth="1"/>
    <col min="9996" max="10240" width="9.140625" style="274"/>
    <col min="10241" max="10241" width="5.5703125" style="274" customWidth="1"/>
    <col min="10242" max="10242" width="58" style="274" customWidth="1"/>
    <col min="10243" max="10243" width="24.140625" style="274" customWidth="1"/>
    <col min="10244" max="10245" width="0" style="274" hidden="1" customWidth="1"/>
    <col min="10246" max="10246" width="61.42578125" style="274" customWidth="1"/>
    <col min="10247" max="10247" width="62.140625" style="274" customWidth="1"/>
    <col min="10248" max="10251" width="0" style="274" hidden="1" customWidth="1"/>
    <col min="10252" max="10496" width="9.140625" style="274"/>
    <col min="10497" max="10497" width="5.5703125" style="274" customWidth="1"/>
    <col min="10498" max="10498" width="58" style="274" customWidth="1"/>
    <col min="10499" max="10499" width="24.140625" style="274" customWidth="1"/>
    <col min="10500" max="10501" width="0" style="274" hidden="1" customWidth="1"/>
    <col min="10502" max="10502" width="61.42578125" style="274" customWidth="1"/>
    <col min="10503" max="10503" width="62.140625" style="274" customWidth="1"/>
    <col min="10504" max="10507" width="0" style="274" hidden="1" customWidth="1"/>
    <col min="10508" max="10752" width="9.140625" style="274"/>
    <col min="10753" max="10753" width="5.5703125" style="274" customWidth="1"/>
    <col min="10754" max="10754" width="58" style="274" customWidth="1"/>
    <col min="10755" max="10755" width="24.140625" style="274" customWidth="1"/>
    <col min="10756" max="10757" width="0" style="274" hidden="1" customWidth="1"/>
    <col min="10758" max="10758" width="61.42578125" style="274" customWidth="1"/>
    <col min="10759" max="10759" width="62.140625" style="274" customWidth="1"/>
    <col min="10760" max="10763" width="0" style="274" hidden="1" customWidth="1"/>
    <col min="10764" max="11008" width="9.140625" style="274"/>
    <col min="11009" max="11009" width="5.5703125" style="274" customWidth="1"/>
    <col min="11010" max="11010" width="58" style="274" customWidth="1"/>
    <col min="11011" max="11011" width="24.140625" style="274" customWidth="1"/>
    <col min="11012" max="11013" width="0" style="274" hidden="1" customWidth="1"/>
    <col min="11014" max="11014" width="61.42578125" style="274" customWidth="1"/>
    <col min="11015" max="11015" width="62.140625" style="274" customWidth="1"/>
    <col min="11016" max="11019" width="0" style="274" hidden="1" customWidth="1"/>
    <col min="11020" max="11264" width="9.140625" style="274"/>
    <col min="11265" max="11265" width="5.5703125" style="274" customWidth="1"/>
    <col min="11266" max="11266" width="58" style="274" customWidth="1"/>
    <col min="11267" max="11267" width="24.140625" style="274" customWidth="1"/>
    <col min="11268" max="11269" width="0" style="274" hidden="1" customWidth="1"/>
    <col min="11270" max="11270" width="61.42578125" style="274" customWidth="1"/>
    <col min="11271" max="11271" width="62.140625" style="274" customWidth="1"/>
    <col min="11272" max="11275" width="0" style="274" hidden="1" customWidth="1"/>
    <col min="11276" max="11520" width="9.140625" style="274"/>
    <col min="11521" max="11521" width="5.5703125" style="274" customWidth="1"/>
    <col min="11522" max="11522" width="58" style="274" customWidth="1"/>
    <col min="11523" max="11523" width="24.140625" style="274" customWidth="1"/>
    <col min="11524" max="11525" width="0" style="274" hidden="1" customWidth="1"/>
    <col min="11526" max="11526" width="61.42578125" style="274" customWidth="1"/>
    <col min="11527" max="11527" width="62.140625" style="274" customWidth="1"/>
    <col min="11528" max="11531" width="0" style="274" hidden="1" customWidth="1"/>
    <col min="11532" max="11776" width="9.140625" style="274"/>
    <col min="11777" max="11777" width="5.5703125" style="274" customWidth="1"/>
    <col min="11778" max="11778" width="58" style="274" customWidth="1"/>
    <col min="11779" max="11779" width="24.140625" style="274" customWidth="1"/>
    <col min="11780" max="11781" width="0" style="274" hidden="1" customWidth="1"/>
    <col min="11782" max="11782" width="61.42578125" style="274" customWidth="1"/>
    <col min="11783" max="11783" width="62.140625" style="274" customWidth="1"/>
    <col min="11784" max="11787" width="0" style="274" hidden="1" customWidth="1"/>
    <col min="11788" max="12032" width="9.140625" style="274"/>
    <col min="12033" max="12033" width="5.5703125" style="274" customWidth="1"/>
    <col min="12034" max="12034" width="58" style="274" customWidth="1"/>
    <col min="12035" max="12035" width="24.140625" style="274" customWidth="1"/>
    <col min="12036" max="12037" width="0" style="274" hidden="1" customWidth="1"/>
    <col min="12038" max="12038" width="61.42578125" style="274" customWidth="1"/>
    <col min="12039" max="12039" width="62.140625" style="274" customWidth="1"/>
    <col min="12040" max="12043" width="0" style="274" hidden="1" customWidth="1"/>
    <col min="12044" max="12288" width="9.140625" style="274"/>
    <col min="12289" max="12289" width="5.5703125" style="274" customWidth="1"/>
    <col min="12290" max="12290" width="58" style="274" customWidth="1"/>
    <col min="12291" max="12291" width="24.140625" style="274" customWidth="1"/>
    <col min="12292" max="12293" width="0" style="274" hidden="1" customWidth="1"/>
    <col min="12294" max="12294" width="61.42578125" style="274" customWidth="1"/>
    <col min="12295" max="12295" width="62.140625" style="274" customWidth="1"/>
    <col min="12296" max="12299" width="0" style="274" hidden="1" customWidth="1"/>
    <col min="12300" max="12544" width="9.140625" style="274"/>
    <col min="12545" max="12545" width="5.5703125" style="274" customWidth="1"/>
    <col min="12546" max="12546" width="58" style="274" customWidth="1"/>
    <col min="12547" max="12547" width="24.140625" style="274" customWidth="1"/>
    <col min="12548" max="12549" width="0" style="274" hidden="1" customWidth="1"/>
    <col min="12550" max="12550" width="61.42578125" style="274" customWidth="1"/>
    <col min="12551" max="12551" width="62.140625" style="274" customWidth="1"/>
    <col min="12552" max="12555" width="0" style="274" hidden="1" customWidth="1"/>
    <col min="12556" max="12800" width="9.140625" style="274"/>
    <col min="12801" max="12801" width="5.5703125" style="274" customWidth="1"/>
    <col min="12802" max="12802" width="58" style="274" customWidth="1"/>
    <col min="12803" max="12803" width="24.140625" style="274" customWidth="1"/>
    <col min="12804" max="12805" width="0" style="274" hidden="1" customWidth="1"/>
    <col min="12806" max="12806" width="61.42578125" style="274" customWidth="1"/>
    <col min="12807" max="12807" width="62.140625" style="274" customWidth="1"/>
    <col min="12808" max="12811" width="0" style="274" hidden="1" customWidth="1"/>
    <col min="12812" max="13056" width="9.140625" style="274"/>
    <col min="13057" max="13057" width="5.5703125" style="274" customWidth="1"/>
    <col min="13058" max="13058" width="58" style="274" customWidth="1"/>
    <col min="13059" max="13059" width="24.140625" style="274" customWidth="1"/>
    <col min="13060" max="13061" width="0" style="274" hidden="1" customWidth="1"/>
    <col min="13062" max="13062" width="61.42578125" style="274" customWidth="1"/>
    <col min="13063" max="13063" width="62.140625" style="274" customWidth="1"/>
    <col min="13064" max="13067" width="0" style="274" hidden="1" customWidth="1"/>
    <col min="13068" max="13312" width="9.140625" style="274"/>
    <col min="13313" max="13313" width="5.5703125" style="274" customWidth="1"/>
    <col min="13314" max="13314" width="58" style="274" customWidth="1"/>
    <col min="13315" max="13315" width="24.140625" style="274" customWidth="1"/>
    <col min="13316" max="13317" width="0" style="274" hidden="1" customWidth="1"/>
    <col min="13318" max="13318" width="61.42578125" style="274" customWidth="1"/>
    <col min="13319" max="13319" width="62.140625" style="274" customWidth="1"/>
    <col min="13320" max="13323" width="0" style="274" hidden="1" customWidth="1"/>
    <col min="13324" max="13568" width="9.140625" style="274"/>
    <col min="13569" max="13569" width="5.5703125" style="274" customWidth="1"/>
    <col min="13570" max="13570" width="58" style="274" customWidth="1"/>
    <col min="13571" max="13571" width="24.140625" style="274" customWidth="1"/>
    <col min="13572" max="13573" width="0" style="274" hidden="1" customWidth="1"/>
    <col min="13574" max="13574" width="61.42578125" style="274" customWidth="1"/>
    <col min="13575" max="13575" width="62.140625" style="274" customWidth="1"/>
    <col min="13576" max="13579" width="0" style="274" hidden="1" customWidth="1"/>
    <col min="13580" max="13824" width="9.140625" style="274"/>
    <col min="13825" max="13825" width="5.5703125" style="274" customWidth="1"/>
    <col min="13826" max="13826" width="58" style="274" customWidth="1"/>
    <col min="13827" max="13827" width="24.140625" style="274" customWidth="1"/>
    <col min="13828" max="13829" width="0" style="274" hidden="1" customWidth="1"/>
    <col min="13830" max="13830" width="61.42578125" style="274" customWidth="1"/>
    <col min="13831" max="13831" width="62.140625" style="274" customWidth="1"/>
    <col min="13832" max="13835" width="0" style="274" hidden="1" customWidth="1"/>
    <col min="13836" max="14080" width="9.140625" style="274"/>
    <col min="14081" max="14081" width="5.5703125" style="274" customWidth="1"/>
    <col min="14082" max="14082" width="58" style="274" customWidth="1"/>
    <col min="14083" max="14083" width="24.140625" style="274" customWidth="1"/>
    <col min="14084" max="14085" width="0" style="274" hidden="1" customWidth="1"/>
    <col min="14086" max="14086" width="61.42578125" style="274" customWidth="1"/>
    <col min="14087" max="14087" width="62.140625" style="274" customWidth="1"/>
    <col min="14088" max="14091" width="0" style="274" hidden="1" customWidth="1"/>
    <col min="14092" max="14336" width="9.140625" style="274"/>
    <col min="14337" max="14337" width="5.5703125" style="274" customWidth="1"/>
    <col min="14338" max="14338" width="58" style="274" customWidth="1"/>
    <col min="14339" max="14339" width="24.140625" style="274" customWidth="1"/>
    <col min="14340" max="14341" width="0" style="274" hidden="1" customWidth="1"/>
    <col min="14342" max="14342" width="61.42578125" style="274" customWidth="1"/>
    <col min="14343" max="14343" width="62.140625" style="274" customWidth="1"/>
    <col min="14344" max="14347" width="0" style="274" hidden="1" customWidth="1"/>
    <col min="14348" max="14592" width="9.140625" style="274"/>
    <col min="14593" max="14593" width="5.5703125" style="274" customWidth="1"/>
    <col min="14594" max="14594" width="58" style="274" customWidth="1"/>
    <col min="14595" max="14595" width="24.140625" style="274" customWidth="1"/>
    <col min="14596" max="14597" width="0" style="274" hidden="1" customWidth="1"/>
    <col min="14598" max="14598" width="61.42578125" style="274" customWidth="1"/>
    <col min="14599" max="14599" width="62.140625" style="274" customWidth="1"/>
    <col min="14600" max="14603" width="0" style="274" hidden="1" customWidth="1"/>
    <col min="14604" max="14848" width="9.140625" style="274"/>
    <col min="14849" max="14849" width="5.5703125" style="274" customWidth="1"/>
    <col min="14850" max="14850" width="58" style="274" customWidth="1"/>
    <col min="14851" max="14851" width="24.140625" style="274" customWidth="1"/>
    <col min="14852" max="14853" width="0" style="274" hidden="1" customWidth="1"/>
    <col min="14854" max="14854" width="61.42578125" style="274" customWidth="1"/>
    <col min="14855" max="14855" width="62.140625" style="274" customWidth="1"/>
    <col min="14856" max="14859" width="0" style="274" hidden="1" customWidth="1"/>
    <col min="14860" max="15104" width="9.140625" style="274"/>
    <col min="15105" max="15105" width="5.5703125" style="274" customWidth="1"/>
    <col min="15106" max="15106" width="58" style="274" customWidth="1"/>
    <col min="15107" max="15107" width="24.140625" style="274" customWidth="1"/>
    <col min="15108" max="15109" width="0" style="274" hidden="1" customWidth="1"/>
    <col min="15110" max="15110" width="61.42578125" style="274" customWidth="1"/>
    <col min="15111" max="15111" width="62.140625" style="274" customWidth="1"/>
    <col min="15112" max="15115" width="0" style="274" hidden="1" customWidth="1"/>
    <col min="15116" max="15360" width="9.140625" style="274"/>
    <col min="15361" max="15361" width="5.5703125" style="274" customWidth="1"/>
    <col min="15362" max="15362" width="58" style="274" customWidth="1"/>
    <col min="15363" max="15363" width="24.140625" style="274" customWidth="1"/>
    <col min="15364" max="15365" width="0" style="274" hidden="1" customWidth="1"/>
    <col min="15366" max="15366" width="61.42578125" style="274" customWidth="1"/>
    <col min="15367" max="15367" width="62.140625" style="274" customWidth="1"/>
    <col min="15368" max="15371" width="0" style="274" hidden="1" customWidth="1"/>
    <col min="15372" max="15616" width="9.140625" style="274"/>
    <col min="15617" max="15617" width="5.5703125" style="274" customWidth="1"/>
    <col min="15618" max="15618" width="58" style="274" customWidth="1"/>
    <col min="15619" max="15619" width="24.140625" style="274" customWidth="1"/>
    <col min="15620" max="15621" width="0" style="274" hidden="1" customWidth="1"/>
    <col min="15622" max="15622" width="61.42578125" style="274" customWidth="1"/>
    <col min="15623" max="15623" width="62.140625" style="274" customWidth="1"/>
    <col min="15624" max="15627" width="0" style="274" hidden="1" customWidth="1"/>
    <col min="15628" max="15872" width="9.140625" style="274"/>
    <col min="15873" max="15873" width="5.5703125" style="274" customWidth="1"/>
    <col min="15874" max="15874" width="58" style="274" customWidth="1"/>
    <col min="15875" max="15875" width="24.140625" style="274" customWidth="1"/>
    <col min="15876" max="15877" width="0" style="274" hidden="1" customWidth="1"/>
    <col min="15878" max="15878" width="61.42578125" style="274" customWidth="1"/>
    <col min="15879" max="15879" width="62.140625" style="274" customWidth="1"/>
    <col min="15880" max="15883" width="0" style="274" hidden="1" customWidth="1"/>
    <col min="15884" max="16128" width="9.140625" style="274"/>
    <col min="16129" max="16129" width="5.5703125" style="274" customWidth="1"/>
    <col min="16130" max="16130" width="58" style="274" customWidth="1"/>
    <col min="16131" max="16131" width="24.140625" style="274" customWidth="1"/>
    <col min="16132" max="16133" width="0" style="274" hidden="1" customWidth="1"/>
    <col min="16134" max="16134" width="61.42578125" style="274" customWidth="1"/>
    <col min="16135" max="16135" width="62.140625" style="274" customWidth="1"/>
    <col min="16136" max="16139" width="0" style="274" hidden="1" customWidth="1"/>
    <col min="16140" max="16384" width="9.140625" style="274"/>
  </cols>
  <sheetData>
    <row r="1" spans="2:12" ht="21">
      <c r="B1" s="271"/>
      <c r="C1" s="272" t="s">
        <v>178</v>
      </c>
      <c r="D1" s="272" t="s">
        <v>178</v>
      </c>
      <c r="E1" s="273"/>
    </row>
    <row r="2" spans="2:12" ht="21">
      <c r="C2" s="276">
        <v>43952</v>
      </c>
      <c r="D2" s="277" t="s">
        <v>179</v>
      </c>
      <c r="E2" s="278"/>
    </row>
    <row r="3" spans="2:12" ht="21">
      <c r="B3" s="279"/>
      <c r="C3" s="277" t="s">
        <v>180</v>
      </c>
      <c r="D3" s="277" t="s">
        <v>180</v>
      </c>
      <c r="E3" s="277"/>
      <c r="F3" s="280"/>
      <c r="G3" s="281"/>
      <c r="L3" s="281"/>
    </row>
    <row r="4" spans="2:12" ht="19.350000000000001" customHeight="1" thickBot="1">
      <c r="B4" s="282" t="s">
        <v>181</v>
      </c>
      <c r="C4" s="283" t="s">
        <v>182</v>
      </c>
      <c r="D4" s="284" t="s">
        <v>183</v>
      </c>
      <c r="E4" s="284" t="s">
        <v>184</v>
      </c>
      <c r="F4" s="282" t="s">
        <v>185</v>
      </c>
      <c r="G4" s="285" t="s">
        <v>186</v>
      </c>
      <c r="H4" s="278" t="s">
        <v>187</v>
      </c>
      <c r="J4" s="274" t="s">
        <v>188</v>
      </c>
      <c r="L4" s="285" t="s">
        <v>189</v>
      </c>
    </row>
    <row r="5" spans="2:12" ht="31.35" customHeight="1">
      <c r="B5" s="286" t="s">
        <v>190</v>
      </c>
      <c r="C5" s="287">
        <f>'[15]DC  CNA  DC III'!G7</f>
        <v>16.791999999999998</v>
      </c>
      <c r="D5" s="287">
        <v>15.48</v>
      </c>
      <c r="E5" s="288"/>
      <c r="F5" s="717" t="s">
        <v>191</v>
      </c>
      <c r="G5" s="715" t="s">
        <v>192</v>
      </c>
      <c r="H5" s="289">
        <f>H6/2080</f>
        <v>15.480288461538462</v>
      </c>
      <c r="J5" s="290">
        <f>C5-H5</f>
        <v>1.3117115384615357</v>
      </c>
      <c r="L5" s="715" t="s">
        <v>193</v>
      </c>
    </row>
    <row r="6" spans="2:12" ht="31.35" customHeight="1" thickBot="1">
      <c r="B6" s="291" t="s">
        <v>194</v>
      </c>
      <c r="C6" s="292">
        <f>C5*2080</f>
        <v>34927.359999999993</v>
      </c>
      <c r="D6" s="292">
        <f>D5*2080</f>
        <v>32198.400000000001</v>
      </c>
      <c r="E6" s="293">
        <f>(C6-D6)/D6</f>
        <v>8.4754521963824034E-2</v>
      </c>
      <c r="F6" s="718"/>
      <c r="G6" s="716"/>
      <c r="H6" s="294">
        <v>32199</v>
      </c>
      <c r="J6" s="290"/>
      <c r="L6" s="716"/>
    </row>
    <row r="7" spans="2:12" ht="21">
      <c r="B7" s="286" t="s">
        <v>195</v>
      </c>
      <c r="C7" s="287">
        <f>'[15]DC  CNA  DC III'!G20</f>
        <v>21.736000000000001</v>
      </c>
      <c r="D7" s="287">
        <v>19.96</v>
      </c>
      <c r="E7" s="288"/>
      <c r="F7" s="295" t="s">
        <v>196</v>
      </c>
      <c r="G7" s="715" t="s">
        <v>197</v>
      </c>
      <c r="H7" s="289">
        <f>H8/2080</f>
        <v>18.400480769230768</v>
      </c>
      <c r="J7" s="290">
        <f>C7-H7</f>
        <v>3.3355192307692327</v>
      </c>
      <c r="L7" s="715" t="s">
        <v>198</v>
      </c>
    </row>
    <row r="8" spans="2:12" ht="21.75" thickBot="1">
      <c r="B8" s="296" t="s">
        <v>199</v>
      </c>
      <c r="C8" s="297">
        <f>C7*2080</f>
        <v>45210.880000000005</v>
      </c>
      <c r="D8" s="297">
        <f>D7*2080</f>
        <v>41516.800000000003</v>
      </c>
      <c r="E8" s="298">
        <f>(C8-D8)/D8</f>
        <v>8.8977955911823683E-2</v>
      </c>
      <c r="F8" s="280" t="s">
        <v>200</v>
      </c>
      <c r="G8" s="719"/>
      <c r="H8" s="294">
        <v>38273</v>
      </c>
      <c r="J8" s="290"/>
      <c r="L8" s="719"/>
    </row>
    <row r="9" spans="2:12" ht="21">
      <c r="B9" s="286" t="s">
        <v>201</v>
      </c>
      <c r="C9" s="287">
        <f>'[15]DC  CNA  DC III'!G11</f>
        <v>17.260000000000002</v>
      </c>
      <c r="D9" s="287">
        <v>15.53</v>
      </c>
      <c r="E9" s="288"/>
      <c r="F9" s="295"/>
      <c r="G9" s="715" t="s">
        <v>202</v>
      </c>
      <c r="H9" s="289">
        <f>H10/2080</f>
        <v>20.43028846153846</v>
      </c>
      <c r="J9" s="299">
        <f>C9-H9</f>
        <v>-3.1702884615384583</v>
      </c>
      <c r="L9" s="715" t="s">
        <v>203</v>
      </c>
    </row>
    <row r="10" spans="2:12" ht="21.75" thickBot="1">
      <c r="B10" s="291" t="s">
        <v>204</v>
      </c>
      <c r="C10" s="292">
        <f>C9*2080</f>
        <v>35900.800000000003</v>
      </c>
      <c r="D10" s="292">
        <f>D9*2080</f>
        <v>32302.399999999998</v>
      </c>
      <c r="E10" s="293">
        <f>(C10-D10)/D10</f>
        <v>0.11139729555698664</v>
      </c>
      <c r="F10" s="300"/>
      <c r="G10" s="716"/>
      <c r="H10" s="294">
        <v>42495</v>
      </c>
      <c r="J10" s="290"/>
      <c r="L10" s="716"/>
    </row>
    <row r="11" spans="2:12" ht="21">
      <c r="B11" s="286" t="s">
        <v>205</v>
      </c>
      <c r="C11" s="287">
        <f>'[15]Case Social Worker.Manager'!G4</f>
        <v>21.814999999999998</v>
      </c>
      <c r="D11" s="287">
        <v>21.14</v>
      </c>
      <c r="E11" s="288"/>
      <c r="F11" s="295" t="s">
        <v>206</v>
      </c>
      <c r="G11" s="715" t="s">
        <v>207</v>
      </c>
      <c r="H11" s="720" t="s">
        <v>208</v>
      </c>
      <c r="J11" s="290"/>
      <c r="L11" s="715" t="s">
        <v>209</v>
      </c>
    </row>
    <row r="12" spans="2:12" ht="21.75" thickBot="1">
      <c r="B12" s="296" t="s">
        <v>210</v>
      </c>
      <c r="C12" s="297">
        <f>C11*2080</f>
        <v>45375.199999999997</v>
      </c>
      <c r="D12" s="297">
        <f>D11*2080</f>
        <v>43971.200000000004</v>
      </c>
      <c r="E12" s="298">
        <f>(C12-D12)/D12</f>
        <v>3.192999053926189E-2</v>
      </c>
      <c r="F12" s="280" t="s">
        <v>211</v>
      </c>
      <c r="G12" s="719"/>
      <c r="H12" s="721"/>
      <c r="J12" s="290"/>
      <c r="L12" s="719"/>
    </row>
    <row r="13" spans="2:12" ht="42">
      <c r="B13" s="301" t="s">
        <v>212</v>
      </c>
      <c r="C13" s="287">
        <f>'[15]Case Social Worker.Manager'!G10</f>
        <v>26.16</v>
      </c>
      <c r="D13" s="287">
        <v>25.32</v>
      </c>
      <c r="E13" s="288"/>
      <c r="F13" s="295" t="s">
        <v>213</v>
      </c>
      <c r="G13" s="715" t="s">
        <v>214</v>
      </c>
      <c r="H13" s="289">
        <f>H14/2080</f>
        <v>19.703365384615385</v>
      </c>
      <c r="J13" s="290">
        <f>C13-H13</f>
        <v>6.4566346153846155</v>
      </c>
      <c r="L13" s="715" t="s">
        <v>215</v>
      </c>
    </row>
    <row r="14" spans="2:12" ht="42.75" thickBot="1">
      <c r="B14" s="302" t="s">
        <v>216</v>
      </c>
      <c r="C14" s="292">
        <f>C13*2080</f>
        <v>54412.800000000003</v>
      </c>
      <c r="D14" s="292">
        <f>D13*2080</f>
        <v>52665.599999999999</v>
      </c>
      <c r="E14" s="293">
        <f>(C14-D14)/D14</f>
        <v>3.3175355450237053E-2</v>
      </c>
      <c r="F14" s="548" t="s">
        <v>324</v>
      </c>
      <c r="G14" s="716"/>
      <c r="H14" s="294">
        <v>40983</v>
      </c>
      <c r="J14" s="290"/>
      <c r="L14" s="716"/>
    </row>
    <row r="15" spans="2:12" ht="21">
      <c r="B15" s="286" t="s">
        <v>217</v>
      </c>
      <c r="C15" s="287">
        <f>[15]Nursing!G2</f>
        <v>28.8</v>
      </c>
      <c r="D15" s="287">
        <v>27.62</v>
      </c>
      <c r="E15" s="288"/>
      <c r="F15" s="295"/>
      <c r="G15" s="715" t="s">
        <v>218</v>
      </c>
      <c r="H15" s="303"/>
      <c r="J15" s="290"/>
      <c r="L15" s="715" t="s">
        <v>219</v>
      </c>
    </row>
    <row r="16" spans="2:12" ht="21.75" thickBot="1">
      <c r="B16" s="291" t="s">
        <v>220</v>
      </c>
      <c r="C16" s="292">
        <f>C15*2080</f>
        <v>59904</v>
      </c>
      <c r="D16" s="292">
        <f>D15*2080</f>
        <v>57449.599999999999</v>
      </c>
      <c r="E16" s="293">
        <f>(C16-D16)/D16</f>
        <v>4.2722664735698794E-2</v>
      </c>
      <c r="F16" s="300"/>
      <c r="G16" s="716"/>
      <c r="H16" s="303"/>
      <c r="J16" s="290"/>
      <c r="L16" s="716"/>
    </row>
    <row r="17" spans="2:12" ht="21">
      <c r="B17" s="286" t="s">
        <v>221</v>
      </c>
      <c r="C17" s="287">
        <f>[15]Clinical!G5</f>
        <v>30.59</v>
      </c>
      <c r="D17" s="287">
        <v>29.29</v>
      </c>
      <c r="E17" s="288"/>
      <c r="F17" s="295" t="s">
        <v>222</v>
      </c>
      <c r="G17" s="715" t="s">
        <v>223</v>
      </c>
      <c r="H17" s="289">
        <f>H18/2080</f>
        <v>27.190865384615385</v>
      </c>
      <c r="J17" s="290">
        <f>C17-H17</f>
        <v>3.3991346153846145</v>
      </c>
      <c r="L17" s="715" t="s">
        <v>224</v>
      </c>
    </row>
    <row r="18" spans="2:12" ht="21.75" thickBot="1">
      <c r="B18" s="291" t="s">
        <v>225</v>
      </c>
      <c r="C18" s="292">
        <f>C17*2080</f>
        <v>63627.199999999997</v>
      </c>
      <c r="D18" s="292">
        <f>D17*2080</f>
        <v>60923.199999999997</v>
      </c>
      <c r="E18" s="293">
        <f>(C18-D18)/D18</f>
        <v>4.4383748719699558E-2</v>
      </c>
      <c r="F18" s="300"/>
      <c r="G18" s="716"/>
      <c r="H18" s="294">
        <v>56557</v>
      </c>
      <c r="J18" s="290"/>
      <c r="L18" s="716"/>
    </row>
    <row r="19" spans="2:12" ht="21">
      <c r="B19" s="286" t="s">
        <v>226</v>
      </c>
      <c r="C19" s="304">
        <f>[15]Therapies!E2</f>
        <v>31.99</v>
      </c>
      <c r="D19" s="305"/>
      <c r="E19" s="306"/>
      <c r="F19" s="295"/>
      <c r="G19" s="715" t="s">
        <v>227</v>
      </c>
      <c r="H19" s="303"/>
      <c r="J19" s="290"/>
      <c r="L19" s="715" t="s">
        <v>228</v>
      </c>
    </row>
    <row r="20" spans="2:12" ht="21.75" thickBot="1">
      <c r="B20" s="291" t="s">
        <v>229</v>
      </c>
      <c r="C20" s="292">
        <f>C19*2080</f>
        <v>66539.199999999997</v>
      </c>
      <c r="D20" s="292"/>
      <c r="E20" s="307"/>
      <c r="F20" s="300"/>
      <c r="G20" s="716"/>
      <c r="H20" s="303"/>
      <c r="J20" s="290"/>
      <c r="L20" s="716"/>
    </row>
    <row r="21" spans="2:12" ht="21">
      <c r="B21" s="296" t="s">
        <v>230</v>
      </c>
      <c r="C21" s="308">
        <f>[15]Management!G2</f>
        <v>33.46153846153846</v>
      </c>
      <c r="D21" s="297" t="s">
        <v>208</v>
      </c>
      <c r="E21" s="309"/>
      <c r="F21" s="280" t="s">
        <v>231</v>
      </c>
      <c r="G21" s="715" t="s">
        <v>232</v>
      </c>
      <c r="H21" s="303"/>
      <c r="J21" s="290"/>
      <c r="L21" s="722" t="s">
        <v>233</v>
      </c>
    </row>
    <row r="22" spans="2:12" ht="21.75" thickBot="1">
      <c r="B22" s="291" t="s">
        <v>234</v>
      </c>
      <c r="C22" s="292">
        <f>[15]Management!H2</f>
        <v>69600</v>
      </c>
      <c r="D22" s="292" t="s">
        <v>208</v>
      </c>
      <c r="E22" s="310"/>
      <c r="F22" s="300" t="s">
        <v>235</v>
      </c>
      <c r="G22" s="716"/>
      <c r="H22" s="303"/>
      <c r="J22" s="290"/>
      <c r="L22" s="723"/>
    </row>
    <row r="23" spans="2:12" ht="21">
      <c r="B23" s="296" t="s">
        <v>236</v>
      </c>
      <c r="C23" s="308">
        <f>[15]Therapies!E8</f>
        <v>34.022499999999994</v>
      </c>
      <c r="D23" s="297"/>
      <c r="E23" s="311"/>
      <c r="F23" s="280" t="s">
        <v>237</v>
      </c>
      <c r="G23" s="715" t="s">
        <v>214</v>
      </c>
      <c r="H23" s="303"/>
      <c r="J23" s="290"/>
      <c r="L23" s="715" t="s">
        <v>238</v>
      </c>
    </row>
    <row r="24" spans="2:12" ht="21.75" thickBot="1">
      <c r="B24" s="291" t="s">
        <v>239</v>
      </c>
      <c r="C24" s="292">
        <f>C23*2080</f>
        <v>70766.799999999988</v>
      </c>
      <c r="D24" s="292"/>
      <c r="E24" s="307"/>
      <c r="F24" s="300"/>
      <c r="G24" s="716"/>
      <c r="H24" s="303"/>
      <c r="J24" s="290"/>
      <c r="L24" s="716"/>
    </row>
    <row r="25" spans="2:12" ht="21">
      <c r="B25" s="296" t="s">
        <v>240</v>
      </c>
      <c r="C25" s="308">
        <f>[15]Therapies!E14</f>
        <v>36.380000000000003</v>
      </c>
      <c r="D25" s="297"/>
      <c r="E25" s="311"/>
      <c r="F25" s="280" t="s">
        <v>241</v>
      </c>
      <c r="G25" s="715" t="s">
        <v>214</v>
      </c>
      <c r="H25" s="303"/>
      <c r="J25" s="290"/>
      <c r="L25" s="715" t="s">
        <v>242</v>
      </c>
    </row>
    <row r="26" spans="2:12" ht="21.75" thickBot="1">
      <c r="B26" s="291" t="s">
        <v>243</v>
      </c>
      <c r="C26" s="297">
        <f>C25*2080</f>
        <v>75670.400000000009</v>
      </c>
      <c r="D26" s="297"/>
      <c r="E26" s="311"/>
      <c r="F26" s="280"/>
      <c r="G26" s="716"/>
      <c r="H26" s="303"/>
      <c r="J26" s="290"/>
      <c r="L26" s="716"/>
    </row>
    <row r="27" spans="2:12" ht="21">
      <c r="B27" s="286" t="s">
        <v>244</v>
      </c>
      <c r="C27" s="287">
        <f>[15]Clinical!G9</f>
        <v>40.57</v>
      </c>
      <c r="D27" s="287">
        <v>40.06</v>
      </c>
      <c r="E27" s="288"/>
      <c r="F27" s="724" t="s">
        <v>245</v>
      </c>
      <c r="G27" s="715" t="s">
        <v>246</v>
      </c>
      <c r="H27" s="289">
        <f>H28/2080</f>
        <v>33.217788461538461</v>
      </c>
      <c r="J27" s="290">
        <f>C27-H27</f>
        <v>7.352211538461539</v>
      </c>
      <c r="L27" s="715" t="s">
        <v>247</v>
      </c>
    </row>
    <row r="28" spans="2:12" ht="34.5" customHeight="1" thickBot="1">
      <c r="B28" s="291" t="s">
        <v>248</v>
      </c>
      <c r="C28" s="292">
        <f>C27*2080</f>
        <v>84385.600000000006</v>
      </c>
      <c r="D28" s="292">
        <f>D27*2080</f>
        <v>83324.800000000003</v>
      </c>
      <c r="E28" s="293">
        <f>(C28-D28)/D28</f>
        <v>1.2730903644533234E-2</v>
      </c>
      <c r="F28" s="725"/>
      <c r="G28" s="716"/>
      <c r="H28" s="294">
        <v>69093</v>
      </c>
      <c r="J28" s="290"/>
      <c r="L28" s="716"/>
    </row>
    <row r="29" spans="2:12" ht="21">
      <c r="B29" s="286" t="s">
        <v>249</v>
      </c>
      <c r="C29" s="287">
        <f>[15]Therapies!E18</f>
        <v>37.751999999999995</v>
      </c>
      <c r="D29" s="287"/>
      <c r="E29" s="288"/>
      <c r="F29" s="295"/>
      <c r="G29" s="715" t="s">
        <v>214</v>
      </c>
      <c r="H29" s="289">
        <f>H30/2080</f>
        <v>25.143750000000001</v>
      </c>
      <c r="J29" s="290">
        <f>C29-H29</f>
        <v>12.608249999999995</v>
      </c>
      <c r="L29" s="715" t="s">
        <v>250</v>
      </c>
    </row>
    <row r="30" spans="2:12" ht="21.75" thickBot="1">
      <c r="B30" s="291" t="s">
        <v>251</v>
      </c>
      <c r="C30" s="292">
        <f>C29*2080</f>
        <v>78524.159999999989</v>
      </c>
      <c r="D30" s="292"/>
      <c r="E30" s="293"/>
      <c r="F30" s="300"/>
      <c r="G30" s="716"/>
      <c r="H30" s="294">
        <v>52299</v>
      </c>
      <c r="J30" s="290"/>
      <c r="L30" s="716"/>
    </row>
    <row r="31" spans="2:12" ht="21">
      <c r="B31" s="286" t="s">
        <v>252</v>
      </c>
      <c r="C31" s="287">
        <f>[15]Nursing!G6</f>
        <v>43.41</v>
      </c>
      <c r="D31" s="287">
        <v>41.76</v>
      </c>
      <c r="E31" s="288"/>
      <c r="F31" s="295"/>
      <c r="G31" s="715" t="s">
        <v>253</v>
      </c>
      <c r="H31" s="312">
        <f>H32/2080</f>
        <v>33.460576923076921</v>
      </c>
      <c r="J31" s="290">
        <f>C31-H31</f>
        <v>9.9494230769230754</v>
      </c>
      <c r="L31" s="715" t="s">
        <v>254</v>
      </c>
    </row>
    <row r="32" spans="2:12" ht="38.450000000000003" customHeight="1" thickBot="1">
      <c r="B32" s="291" t="s">
        <v>255</v>
      </c>
      <c r="C32" s="292">
        <f>C31*2080</f>
        <v>90292.799999999988</v>
      </c>
      <c r="D32" s="292">
        <f>D31*2080</f>
        <v>86860.800000000003</v>
      </c>
      <c r="E32" s="293">
        <f>(C32-D32)/D32</f>
        <v>3.9511494252873397E-2</v>
      </c>
      <c r="F32" s="300"/>
      <c r="G32" s="716"/>
      <c r="H32" s="294">
        <v>69598</v>
      </c>
      <c r="J32" s="290"/>
      <c r="L32" s="716"/>
    </row>
    <row r="33" spans="2:12" ht="21">
      <c r="B33" s="286" t="s">
        <v>256</v>
      </c>
      <c r="C33" s="287">
        <f>[15]Nursing!G11</f>
        <v>59.6</v>
      </c>
      <c r="D33" s="287">
        <v>57.41</v>
      </c>
      <c r="E33" s="288"/>
      <c r="F33" s="295"/>
      <c r="G33" s="715" t="s">
        <v>257</v>
      </c>
      <c r="H33" s="289">
        <f>H34/2080</f>
        <v>48.354326923076925</v>
      </c>
      <c r="J33" s="290">
        <f>C33-H33</f>
        <v>11.245673076923076</v>
      </c>
      <c r="L33" s="715" t="s">
        <v>258</v>
      </c>
    </row>
    <row r="34" spans="2:12" ht="21.75" thickBot="1">
      <c r="B34" s="291" t="s">
        <v>259</v>
      </c>
      <c r="C34" s="292">
        <f>C33*2080</f>
        <v>123968</v>
      </c>
      <c r="D34" s="292">
        <f>D33*2080</f>
        <v>119412.79999999999</v>
      </c>
      <c r="E34" s="293">
        <f>(C34-D34)/D34</f>
        <v>3.8146664344191006E-2</v>
      </c>
      <c r="F34" s="300"/>
      <c r="G34" s="716"/>
      <c r="H34" s="294">
        <v>100577</v>
      </c>
      <c r="J34" s="290"/>
      <c r="L34" s="716"/>
    </row>
    <row r="35" spans="2:12" ht="21">
      <c r="B35" s="280"/>
      <c r="C35" s="280"/>
      <c r="D35" s="280"/>
      <c r="E35" s="280"/>
      <c r="F35" s="280"/>
      <c r="G35" s="281"/>
      <c r="L35" s="281"/>
    </row>
    <row r="36" spans="2:12" ht="37.5">
      <c r="B36" s="313" t="s">
        <v>260</v>
      </c>
      <c r="C36" s="314">
        <f>C6</f>
        <v>34927.359999999993</v>
      </c>
      <c r="D36" s="315"/>
      <c r="E36" s="315"/>
      <c r="F36" s="315"/>
      <c r="G36" s="316"/>
      <c r="L36" s="316"/>
    </row>
    <row r="37" spans="2:12" ht="18.75">
      <c r="B37" s="315"/>
      <c r="C37" s="315"/>
      <c r="D37" s="315"/>
      <c r="E37" s="315"/>
      <c r="F37" s="315"/>
      <c r="G37" s="316"/>
      <c r="L37" s="316"/>
    </row>
    <row r="38" spans="2:12" ht="37.5">
      <c r="B38" s="313" t="s">
        <v>261</v>
      </c>
      <c r="C38" s="314">
        <f>14.25*2080</f>
        <v>29640</v>
      </c>
      <c r="D38" s="315"/>
      <c r="E38" s="315"/>
      <c r="F38" s="315" t="s">
        <v>262</v>
      </c>
      <c r="G38" s="316"/>
      <c r="L38" s="316"/>
    </row>
    <row r="39" spans="2:12" ht="18.75">
      <c r="B39" s="315"/>
      <c r="C39" s="315"/>
      <c r="D39" s="315"/>
      <c r="E39" s="315"/>
      <c r="F39" s="315"/>
      <c r="G39" s="316"/>
      <c r="L39" s="316"/>
    </row>
    <row r="40" spans="2:12" ht="18.75">
      <c r="B40" s="317" t="s">
        <v>263</v>
      </c>
      <c r="C40" s="318">
        <v>0.2422</v>
      </c>
      <c r="D40" s="315"/>
      <c r="E40" s="315"/>
      <c r="F40" s="315" t="s">
        <v>278</v>
      </c>
      <c r="G40" s="316"/>
      <c r="L40" s="316"/>
    </row>
    <row r="41" spans="2:12" ht="18.75">
      <c r="B41" s="317"/>
      <c r="C41" s="315"/>
      <c r="D41" s="315"/>
      <c r="E41" s="315"/>
      <c r="F41" s="726" t="s">
        <v>279</v>
      </c>
      <c r="G41" s="726"/>
      <c r="L41" s="274"/>
    </row>
    <row r="42" spans="2:12" ht="18.75">
      <c r="B42" s="317" t="s">
        <v>43</v>
      </c>
      <c r="C42" s="318">
        <v>3.7000000000000002E-3</v>
      </c>
      <c r="D42" s="315"/>
      <c r="E42" s="315"/>
      <c r="F42" s="315"/>
      <c r="G42" s="316"/>
      <c r="L42" s="316"/>
    </row>
    <row r="43" spans="2:12" ht="18.75">
      <c r="B43" s="315"/>
      <c r="C43" s="315"/>
      <c r="D43" s="315"/>
      <c r="E43" s="315"/>
      <c r="F43" s="315"/>
      <c r="G43" s="316"/>
      <c r="L43" s="316"/>
    </row>
    <row r="44" spans="2:12" ht="18.75">
      <c r="B44" s="317" t="s">
        <v>264</v>
      </c>
      <c r="C44" s="319">
        <v>0.12</v>
      </c>
      <c r="D44" s="315"/>
      <c r="E44" s="315"/>
      <c r="F44" s="315" t="s">
        <v>265</v>
      </c>
      <c r="G44" s="316"/>
      <c r="L44" s="316"/>
    </row>
    <row r="46" spans="2:12">
      <c r="B46" s="320" t="s">
        <v>266</v>
      </c>
      <c r="C46" s="321">
        <v>214261</v>
      </c>
      <c r="D46" s="322"/>
      <c r="E46" s="322"/>
      <c r="F46" s="322" t="s">
        <v>267</v>
      </c>
    </row>
    <row r="47" spans="2:12">
      <c r="B47" s="320" t="s">
        <v>268</v>
      </c>
      <c r="C47" s="321">
        <v>188350</v>
      </c>
      <c r="D47" s="322"/>
      <c r="E47" s="322"/>
      <c r="F47" s="322" t="s">
        <v>269</v>
      </c>
      <c r="G47" s="275" t="s">
        <v>270</v>
      </c>
    </row>
    <row r="48" spans="2:12">
      <c r="B48" s="320" t="s">
        <v>271</v>
      </c>
      <c r="C48" s="321">
        <v>195380</v>
      </c>
      <c r="D48" s="322"/>
      <c r="E48" s="322"/>
      <c r="F48" s="322" t="s">
        <v>272</v>
      </c>
    </row>
    <row r="51" spans="3:3">
      <c r="C51" s="290"/>
    </row>
    <row r="52" spans="3:3">
      <c r="C52" s="323"/>
    </row>
  </sheetData>
  <mergeCells count="34">
    <mergeCell ref="F41:G41"/>
    <mergeCell ref="G29:G30"/>
    <mergeCell ref="L29:L30"/>
    <mergeCell ref="G31:G32"/>
    <mergeCell ref="L31:L32"/>
    <mergeCell ref="G33:G34"/>
    <mergeCell ref="L33:L34"/>
    <mergeCell ref="G23:G24"/>
    <mergeCell ref="L23:L24"/>
    <mergeCell ref="G25:G26"/>
    <mergeCell ref="L25:L26"/>
    <mergeCell ref="F27:F28"/>
    <mergeCell ref="G27:G28"/>
    <mergeCell ref="L27:L28"/>
    <mergeCell ref="G17:G18"/>
    <mergeCell ref="L17:L18"/>
    <mergeCell ref="G19:G20"/>
    <mergeCell ref="L19:L20"/>
    <mergeCell ref="G21:G22"/>
    <mergeCell ref="L21:L22"/>
    <mergeCell ref="G15:G16"/>
    <mergeCell ref="L15:L16"/>
    <mergeCell ref="F5:F6"/>
    <mergeCell ref="G5:G6"/>
    <mergeCell ref="L5:L6"/>
    <mergeCell ref="G7:G8"/>
    <mergeCell ref="L7:L8"/>
    <mergeCell ref="G9:G10"/>
    <mergeCell ref="L9:L10"/>
    <mergeCell ref="G11:G12"/>
    <mergeCell ref="H11:H12"/>
    <mergeCell ref="L11:L12"/>
    <mergeCell ref="G13:G14"/>
    <mergeCell ref="L13:L14"/>
  </mergeCells>
  <pageMargins left="0.7" right="0.7" top="0.75" bottom="0.75" header="0.3" footer="0.3"/>
  <pageSetup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19"/>
  <sheetViews>
    <sheetView showGridLines="0" workbookViewId="0">
      <selection activeCell="I23" sqref="I23"/>
    </sheetView>
  </sheetViews>
  <sheetFormatPr defaultColWidth="8.85546875" defaultRowHeight="15"/>
  <cols>
    <col min="2" max="2" width="22.140625" customWidth="1"/>
    <col min="3" max="3" width="8.7109375" customWidth="1"/>
    <col min="4" max="4" width="12.5703125" customWidth="1"/>
    <col min="6" max="6" width="20.42578125" bestFit="1" customWidth="1"/>
    <col min="7" max="7" width="12" hidden="1" customWidth="1"/>
    <col min="8" max="8" width="14.42578125" customWidth="1"/>
    <col min="9" max="9" width="53" customWidth="1"/>
  </cols>
  <sheetData>
    <row r="1" spans="2:9" ht="15.75" thickBot="1"/>
    <row r="2" spans="2:9" ht="15.75" thickBot="1">
      <c r="F2" s="788" t="s">
        <v>1</v>
      </c>
      <c r="G2" s="789"/>
      <c r="H2" s="789"/>
      <c r="I2" s="790"/>
    </row>
    <row r="3" spans="2:9" ht="15.75" thickBot="1">
      <c r="B3" s="791" t="s">
        <v>2</v>
      </c>
      <c r="C3" s="792"/>
      <c r="D3" s="793"/>
      <c r="F3" s="4"/>
      <c r="G3" s="5" t="s">
        <v>3</v>
      </c>
      <c r="H3" s="5" t="s">
        <v>4</v>
      </c>
      <c r="I3" s="6" t="s">
        <v>5</v>
      </c>
    </row>
    <row r="4" spans="2:9">
      <c r="B4" s="7" t="s">
        <v>6</v>
      </c>
      <c r="C4" s="8"/>
      <c r="D4" s="9">
        <f>H5*0.25</f>
        <v>10400</v>
      </c>
      <c r="F4" s="10" t="s">
        <v>7</v>
      </c>
      <c r="G4" s="11"/>
      <c r="H4" s="11"/>
      <c r="I4" s="12"/>
    </row>
    <row r="5" spans="2:9">
      <c r="B5" s="7" t="s">
        <v>8</v>
      </c>
      <c r="C5" s="13">
        <f>H6</f>
        <v>0.27379999999999999</v>
      </c>
      <c r="D5" s="14">
        <f>C5*D4</f>
        <v>2847.52</v>
      </c>
      <c r="F5" s="15" t="s">
        <v>9</v>
      </c>
      <c r="G5" s="16">
        <f>[17]Salary!$AD$28</f>
        <v>31575.326535341828</v>
      </c>
      <c r="H5" s="70">
        <f>'M2022 BLS SALARY CHART (53_PCT)'!C6</f>
        <v>41600</v>
      </c>
      <c r="I5" s="12" t="s">
        <v>10</v>
      </c>
    </row>
    <row r="6" spans="2:9">
      <c r="B6" s="7" t="str">
        <f>F8</f>
        <v>CAF</v>
      </c>
      <c r="C6" s="13">
        <f>H8</f>
        <v>2.5758086673353865E-2</v>
      </c>
      <c r="D6" s="14">
        <f>(D4+D5)*C6</f>
        <v>341.2307683669888</v>
      </c>
      <c r="F6" s="18" t="s">
        <v>12</v>
      </c>
      <c r="G6" s="19">
        <f>[17]Pivots!$E$28+[17]Pivots!$E$29</f>
        <v>0.12813673533198905</v>
      </c>
      <c r="H6" s="71">
        <f>'M2022 BLS SALARY CHART (53_PCT)'!C38</f>
        <v>0.27379999999999999</v>
      </c>
      <c r="I6" s="12" t="s">
        <v>13</v>
      </c>
    </row>
    <row r="7" spans="2:9" ht="15.75" thickBot="1">
      <c r="B7" s="7" t="s">
        <v>11</v>
      </c>
      <c r="C7" s="13">
        <f>H7</f>
        <v>0.12</v>
      </c>
      <c r="D7" s="17">
        <f>(D4+D5)*C7</f>
        <v>1589.7023999999999</v>
      </c>
      <c r="F7" s="18" t="s">
        <v>14</v>
      </c>
      <c r="G7" s="21">
        <f>[17]Pivots!$E$27</f>
        <v>0.10213346631589997</v>
      </c>
      <c r="H7" s="72">
        <v>0.12</v>
      </c>
      <c r="I7" s="12" t="s">
        <v>396</v>
      </c>
    </row>
    <row r="8" spans="2:9" ht="16.5" thickTop="1" thickBot="1">
      <c r="B8" s="2"/>
      <c r="C8" s="20"/>
      <c r="D8" s="14">
        <f>SUM(D4:D7)</f>
        <v>15178.45316836699</v>
      </c>
      <c r="F8" s="22" t="s">
        <v>15</v>
      </c>
      <c r="G8" s="23"/>
      <c r="H8" s="73">
        <f>'Fall CAF 2023'!CR28</f>
        <v>2.5758086673353865E-2</v>
      </c>
      <c r="I8" s="24" t="s">
        <v>15</v>
      </c>
    </row>
    <row r="9" spans="2:9" ht="15.75" thickBot="1">
      <c r="B9" s="25"/>
      <c r="C9" s="26"/>
      <c r="D9" s="27"/>
      <c r="F9" s="29"/>
    </row>
    <row r="10" spans="2:9" ht="15.75" thickBot="1">
      <c r="B10" s="28" t="s">
        <v>16</v>
      </c>
      <c r="C10" s="3"/>
      <c r="D10" s="563">
        <f>D8/12</f>
        <v>1264.8710973639159</v>
      </c>
    </row>
    <row r="11" spans="2:9">
      <c r="D11" s="648" t="s">
        <v>395</v>
      </c>
      <c r="F11" s="29"/>
    </row>
    <row r="12" spans="2:9">
      <c r="C12" s="649"/>
      <c r="D12" s="459"/>
      <c r="F12" s="650"/>
    </row>
    <row r="13" spans="2:9">
      <c r="C13" s="651"/>
      <c r="D13" s="1"/>
    </row>
    <row r="19" spans="6:6">
      <c r="F19" s="30"/>
    </row>
  </sheetData>
  <mergeCells count="2">
    <mergeCell ref="F2:I2"/>
    <mergeCell ref="B3:D3"/>
  </mergeCells>
  <pageMargins left="0.7" right="0.7" top="0.75" bottom="0.75" header="0.3" footer="0.3"/>
  <pageSetup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H17"/>
  <sheetViews>
    <sheetView workbookViewId="0">
      <selection activeCell="F26" sqref="F26"/>
    </sheetView>
  </sheetViews>
  <sheetFormatPr defaultColWidth="19.85546875" defaultRowHeight="15"/>
  <cols>
    <col min="8" max="8" width="52.140625" customWidth="1"/>
  </cols>
  <sheetData>
    <row r="3" spans="2:8" ht="15.75" thickBot="1"/>
    <row r="4" spans="2:8">
      <c r="B4" s="519"/>
      <c r="C4" s="520"/>
      <c r="D4" s="520"/>
      <c r="E4" s="532" t="s">
        <v>309</v>
      </c>
      <c r="F4" s="533"/>
      <c r="G4" s="532"/>
      <c r="H4" s="534"/>
    </row>
    <row r="5" spans="2:8" ht="27.6" customHeight="1">
      <c r="B5" s="514"/>
      <c r="C5" s="517"/>
      <c r="D5" s="535" t="s">
        <v>310</v>
      </c>
      <c r="E5" s="535" t="s">
        <v>311</v>
      </c>
      <c r="F5" s="536" t="s">
        <v>312</v>
      </c>
      <c r="G5" s="535" t="s">
        <v>313</v>
      </c>
      <c r="H5" s="522"/>
    </row>
    <row r="6" spans="2:8">
      <c r="B6" s="529" t="s">
        <v>314</v>
      </c>
      <c r="C6" s="112"/>
      <c r="D6" s="523"/>
      <c r="E6" s="537"/>
      <c r="F6" s="527"/>
      <c r="G6" s="528"/>
      <c r="H6" s="511"/>
    </row>
    <row r="7" spans="2:8">
      <c r="B7" s="515" t="str">
        <f>'4626-DVSMT Shelters'!F7</f>
        <v>Specialty Site Supervisor</v>
      </c>
      <c r="C7" s="531"/>
      <c r="D7" s="521">
        <v>0.2</v>
      </c>
      <c r="E7" s="521">
        <f t="shared" ref="E7:E9" si="0">D7</f>
        <v>0.2</v>
      </c>
      <c r="F7" s="538">
        <v>200</v>
      </c>
      <c r="G7" s="539">
        <f t="shared" ref="G7:G9" si="1">F7*E7</f>
        <v>40</v>
      </c>
      <c r="H7" s="511"/>
    </row>
    <row r="8" spans="2:8">
      <c r="B8" s="530" t="s">
        <v>315</v>
      </c>
      <c r="C8" s="540"/>
      <c r="D8" s="521">
        <f>'4625 - Residential Housing Stab'!T8</f>
        <v>0.69750000000000001</v>
      </c>
      <c r="E8" s="521">
        <f>D8</f>
        <v>0.69750000000000001</v>
      </c>
      <c r="F8" s="538">
        <v>80</v>
      </c>
      <c r="G8" s="539">
        <f t="shared" si="1"/>
        <v>55.8</v>
      </c>
      <c r="H8" s="522"/>
    </row>
    <row r="9" spans="2:8">
      <c r="B9" s="530" t="s">
        <v>316</v>
      </c>
      <c r="C9" s="540"/>
      <c r="D9" s="521">
        <f>'4625 - Residential Housing Stab'!T9</f>
        <v>1</v>
      </c>
      <c r="E9" s="521">
        <f t="shared" si="0"/>
        <v>1</v>
      </c>
      <c r="F9" s="538">
        <v>80</v>
      </c>
      <c r="G9" s="539">
        <f t="shared" si="1"/>
        <v>80</v>
      </c>
      <c r="H9" s="522"/>
    </row>
    <row r="10" spans="2:8">
      <c r="B10" s="541" t="s">
        <v>317</v>
      </c>
      <c r="C10" s="542"/>
      <c r="D10" s="543">
        <f>SUM(D7:D9)</f>
        <v>1.8975</v>
      </c>
      <c r="E10" s="543">
        <f>SUM(E7:E9)</f>
        <v>1.8975</v>
      </c>
      <c r="F10" s="544"/>
      <c r="G10" s="545">
        <f>SUM(G7:G9)</f>
        <v>175.8</v>
      </c>
      <c r="H10" s="518"/>
    </row>
    <row r="11" spans="2:8">
      <c r="B11" s="794" t="s">
        <v>318</v>
      </c>
      <c r="C11" s="795"/>
      <c r="D11" s="795"/>
      <c r="E11" s="795"/>
      <c r="F11" s="795"/>
      <c r="G11" s="795"/>
      <c r="H11" s="796"/>
    </row>
    <row r="12" spans="2:8">
      <c r="B12" s="512"/>
      <c r="C12" s="516"/>
      <c r="D12" s="517"/>
      <c r="E12" s="517"/>
      <c r="F12" s="538"/>
      <c r="G12" s="517"/>
      <c r="H12" s="522"/>
    </row>
    <row r="13" spans="2:8">
      <c r="B13" s="512" t="s">
        <v>319</v>
      </c>
      <c r="C13" s="516"/>
      <c r="D13" s="517"/>
      <c r="E13" s="517"/>
      <c r="F13" s="513"/>
      <c r="G13" s="517"/>
      <c r="H13" s="522"/>
    </row>
    <row r="14" spans="2:8" ht="15.75" thickBot="1">
      <c r="B14" s="525"/>
      <c r="C14" s="526"/>
      <c r="D14" s="524"/>
      <c r="E14" s="524"/>
      <c r="F14" s="546"/>
      <c r="G14" s="524"/>
      <c r="H14" s="547"/>
    </row>
    <row r="15" spans="2:8">
      <c r="B15" s="795" t="s">
        <v>320</v>
      </c>
      <c r="C15" s="795"/>
      <c r="D15" s="795"/>
      <c r="E15" s="795"/>
      <c r="F15" s="795"/>
      <c r="G15" s="795"/>
      <c r="H15" s="795"/>
    </row>
    <row r="16" spans="2:8">
      <c r="B16" s="795"/>
      <c r="C16" s="795"/>
      <c r="D16" s="795"/>
      <c r="E16" s="795"/>
      <c r="F16" s="795"/>
      <c r="G16" s="795"/>
      <c r="H16" s="795"/>
    </row>
    <row r="17" spans="2:8">
      <c r="B17" s="795"/>
      <c r="C17" s="795"/>
      <c r="D17" s="795"/>
      <c r="E17" s="795"/>
      <c r="F17" s="795"/>
      <c r="G17" s="795"/>
      <c r="H17" s="795"/>
    </row>
  </sheetData>
  <mergeCells count="2">
    <mergeCell ref="B11:H11"/>
    <mergeCell ref="B15:H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CL25"/>
  <sheetViews>
    <sheetView topLeftCell="A4" workbookViewId="0">
      <selection activeCell="BO37" sqref="BO37"/>
    </sheetView>
  </sheetViews>
  <sheetFormatPr defaultRowHeight="12.75"/>
  <cols>
    <col min="1" max="1" width="38.42578125" style="329" customWidth="1"/>
    <col min="2" max="2" width="12.85546875" style="334" customWidth="1"/>
    <col min="3" max="64" width="7.5703125" style="329" hidden="1" customWidth="1"/>
    <col min="65" max="82" width="7.5703125" style="329" customWidth="1"/>
    <col min="83" max="256" width="8.85546875" style="329"/>
    <col min="257" max="257" width="38.42578125" style="329" customWidth="1"/>
    <col min="258" max="258" width="12.85546875" style="329" customWidth="1"/>
    <col min="259" max="320" width="0" style="329" hidden="1" customWidth="1"/>
    <col min="321" max="338" width="7.5703125" style="329" customWidth="1"/>
    <col min="339" max="512" width="8.85546875" style="329"/>
    <col min="513" max="513" width="38.42578125" style="329" customWidth="1"/>
    <col min="514" max="514" width="12.85546875" style="329" customWidth="1"/>
    <col min="515" max="576" width="0" style="329" hidden="1" customWidth="1"/>
    <col min="577" max="594" width="7.5703125" style="329" customWidth="1"/>
    <col min="595" max="768" width="8.85546875" style="329"/>
    <col min="769" max="769" width="38.42578125" style="329" customWidth="1"/>
    <col min="770" max="770" width="12.85546875" style="329" customWidth="1"/>
    <col min="771" max="832" width="0" style="329" hidden="1" customWidth="1"/>
    <col min="833" max="850" width="7.5703125" style="329" customWidth="1"/>
    <col min="851" max="1024" width="8.85546875" style="329"/>
    <col min="1025" max="1025" width="38.42578125" style="329" customWidth="1"/>
    <col min="1026" max="1026" width="12.85546875" style="329" customWidth="1"/>
    <col min="1027" max="1088" width="0" style="329" hidden="1" customWidth="1"/>
    <col min="1089" max="1106" width="7.5703125" style="329" customWidth="1"/>
    <col min="1107" max="1280" width="8.85546875" style="329"/>
    <col min="1281" max="1281" width="38.42578125" style="329" customWidth="1"/>
    <col min="1282" max="1282" width="12.85546875" style="329" customWidth="1"/>
    <col min="1283" max="1344" width="0" style="329" hidden="1" customWidth="1"/>
    <col min="1345" max="1362" width="7.5703125" style="329" customWidth="1"/>
    <col min="1363" max="1536" width="8.85546875" style="329"/>
    <col min="1537" max="1537" width="38.42578125" style="329" customWidth="1"/>
    <col min="1538" max="1538" width="12.85546875" style="329" customWidth="1"/>
    <col min="1539" max="1600" width="0" style="329" hidden="1" customWidth="1"/>
    <col min="1601" max="1618" width="7.5703125" style="329" customWidth="1"/>
    <col min="1619" max="1792" width="8.85546875" style="329"/>
    <col min="1793" max="1793" width="38.42578125" style="329" customWidth="1"/>
    <col min="1794" max="1794" width="12.85546875" style="329" customWidth="1"/>
    <col min="1795" max="1856" width="0" style="329" hidden="1" customWidth="1"/>
    <col min="1857" max="1874" width="7.5703125" style="329" customWidth="1"/>
    <col min="1875" max="2048" width="8.85546875" style="329"/>
    <col min="2049" max="2049" width="38.42578125" style="329" customWidth="1"/>
    <col min="2050" max="2050" width="12.85546875" style="329" customWidth="1"/>
    <col min="2051" max="2112" width="0" style="329" hidden="1" customWidth="1"/>
    <col min="2113" max="2130" width="7.5703125" style="329" customWidth="1"/>
    <col min="2131" max="2304" width="8.85546875" style="329"/>
    <col min="2305" max="2305" width="38.42578125" style="329" customWidth="1"/>
    <col min="2306" max="2306" width="12.85546875" style="329" customWidth="1"/>
    <col min="2307" max="2368" width="0" style="329" hidden="1" customWidth="1"/>
    <col min="2369" max="2386" width="7.5703125" style="329" customWidth="1"/>
    <col min="2387" max="2560" width="8.85546875" style="329"/>
    <col min="2561" max="2561" width="38.42578125" style="329" customWidth="1"/>
    <col min="2562" max="2562" width="12.85546875" style="329" customWidth="1"/>
    <col min="2563" max="2624" width="0" style="329" hidden="1" customWidth="1"/>
    <col min="2625" max="2642" width="7.5703125" style="329" customWidth="1"/>
    <col min="2643" max="2816" width="8.85546875" style="329"/>
    <col min="2817" max="2817" width="38.42578125" style="329" customWidth="1"/>
    <col min="2818" max="2818" width="12.85546875" style="329" customWidth="1"/>
    <col min="2819" max="2880" width="0" style="329" hidden="1" customWidth="1"/>
    <col min="2881" max="2898" width="7.5703125" style="329" customWidth="1"/>
    <col min="2899" max="3072" width="8.85546875" style="329"/>
    <col min="3073" max="3073" width="38.42578125" style="329" customWidth="1"/>
    <col min="3074" max="3074" width="12.85546875" style="329" customWidth="1"/>
    <col min="3075" max="3136" width="0" style="329" hidden="1" customWidth="1"/>
    <col min="3137" max="3154" width="7.5703125" style="329" customWidth="1"/>
    <col min="3155" max="3328" width="8.85546875" style="329"/>
    <col min="3329" max="3329" width="38.42578125" style="329" customWidth="1"/>
    <col min="3330" max="3330" width="12.85546875" style="329" customWidth="1"/>
    <col min="3331" max="3392" width="0" style="329" hidden="1" customWidth="1"/>
    <col min="3393" max="3410" width="7.5703125" style="329" customWidth="1"/>
    <col min="3411" max="3584" width="8.85546875" style="329"/>
    <col min="3585" max="3585" width="38.42578125" style="329" customWidth="1"/>
    <col min="3586" max="3586" width="12.85546875" style="329" customWidth="1"/>
    <col min="3587" max="3648" width="0" style="329" hidden="1" customWidth="1"/>
    <col min="3649" max="3666" width="7.5703125" style="329" customWidth="1"/>
    <col min="3667" max="3840" width="8.85546875" style="329"/>
    <col min="3841" max="3841" width="38.42578125" style="329" customWidth="1"/>
    <col min="3842" max="3842" width="12.85546875" style="329" customWidth="1"/>
    <col min="3843" max="3904" width="0" style="329" hidden="1" customWidth="1"/>
    <col min="3905" max="3922" width="7.5703125" style="329" customWidth="1"/>
    <col min="3923" max="4096" width="8.85546875" style="329"/>
    <col min="4097" max="4097" width="38.42578125" style="329" customWidth="1"/>
    <col min="4098" max="4098" width="12.85546875" style="329" customWidth="1"/>
    <col min="4099" max="4160" width="0" style="329" hidden="1" customWidth="1"/>
    <col min="4161" max="4178" width="7.5703125" style="329" customWidth="1"/>
    <col min="4179" max="4352" width="8.85546875" style="329"/>
    <col min="4353" max="4353" width="38.42578125" style="329" customWidth="1"/>
    <col min="4354" max="4354" width="12.85546875" style="329" customWidth="1"/>
    <col min="4355" max="4416" width="0" style="329" hidden="1" customWidth="1"/>
    <col min="4417" max="4434" width="7.5703125" style="329" customWidth="1"/>
    <col min="4435" max="4608" width="8.85546875" style="329"/>
    <col min="4609" max="4609" width="38.42578125" style="329" customWidth="1"/>
    <col min="4610" max="4610" width="12.85546875" style="329" customWidth="1"/>
    <col min="4611" max="4672" width="0" style="329" hidden="1" customWidth="1"/>
    <col min="4673" max="4690" width="7.5703125" style="329" customWidth="1"/>
    <col min="4691" max="4864" width="8.85546875" style="329"/>
    <col min="4865" max="4865" width="38.42578125" style="329" customWidth="1"/>
    <col min="4866" max="4866" width="12.85546875" style="329" customWidth="1"/>
    <col min="4867" max="4928" width="0" style="329" hidden="1" customWidth="1"/>
    <col min="4929" max="4946" width="7.5703125" style="329" customWidth="1"/>
    <col min="4947" max="5120" width="8.85546875" style="329"/>
    <col min="5121" max="5121" width="38.42578125" style="329" customWidth="1"/>
    <col min="5122" max="5122" width="12.85546875" style="329" customWidth="1"/>
    <col min="5123" max="5184" width="0" style="329" hidden="1" customWidth="1"/>
    <col min="5185" max="5202" width="7.5703125" style="329" customWidth="1"/>
    <col min="5203" max="5376" width="8.85546875" style="329"/>
    <col min="5377" max="5377" width="38.42578125" style="329" customWidth="1"/>
    <col min="5378" max="5378" width="12.85546875" style="329" customWidth="1"/>
    <col min="5379" max="5440" width="0" style="329" hidden="1" customWidth="1"/>
    <col min="5441" max="5458" width="7.5703125" style="329" customWidth="1"/>
    <col min="5459" max="5632" width="8.85546875" style="329"/>
    <col min="5633" max="5633" width="38.42578125" style="329" customWidth="1"/>
    <col min="5634" max="5634" width="12.85546875" style="329" customWidth="1"/>
    <col min="5635" max="5696" width="0" style="329" hidden="1" customWidth="1"/>
    <col min="5697" max="5714" width="7.5703125" style="329" customWidth="1"/>
    <col min="5715" max="5888" width="8.85546875" style="329"/>
    <col min="5889" max="5889" width="38.42578125" style="329" customWidth="1"/>
    <col min="5890" max="5890" width="12.85546875" style="329" customWidth="1"/>
    <col min="5891" max="5952" width="0" style="329" hidden="1" customWidth="1"/>
    <col min="5953" max="5970" width="7.5703125" style="329" customWidth="1"/>
    <col min="5971" max="6144" width="8.85546875" style="329"/>
    <col min="6145" max="6145" width="38.42578125" style="329" customWidth="1"/>
    <col min="6146" max="6146" width="12.85546875" style="329" customWidth="1"/>
    <col min="6147" max="6208" width="0" style="329" hidden="1" customWidth="1"/>
    <col min="6209" max="6226" width="7.5703125" style="329" customWidth="1"/>
    <col min="6227" max="6400" width="8.85546875" style="329"/>
    <col min="6401" max="6401" width="38.42578125" style="329" customWidth="1"/>
    <col min="6402" max="6402" width="12.85546875" style="329" customWidth="1"/>
    <col min="6403" max="6464" width="0" style="329" hidden="1" customWidth="1"/>
    <col min="6465" max="6482" width="7.5703125" style="329" customWidth="1"/>
    <col min="6483" max="6656" width="8.85546875" style="329"/>
    <col min="6657" max="6657" width="38.42578125" style="329" customWidth="1"/>
    <col min="6658" max="6658" width="12.85546875" style="329" customWidth="1"/>
    <col min="6659" max="6720" width="0" style="329" hidden="1" customWidth="1"/>
    <col min="6721" max="6738" width="7.5703125" style="329" customWidth="1"/>
    <col min="6739" max="6912" width="8.85546875" style="329"/>
    <col min="6913" max="6913" width="38.42578125" style="329" customWidth="1"/>
    <col min="6914" max="6914" width="12.85546875" style="329" customWidth="1"/>
    <col min="6915" max="6976" width="0" style="329" hidden="1" customWidth="1"/>
    <col min="6977" max="6994" width="7.5703125" style="329" customWidth="1"/>
    <col min="6995" max="7168" width="8.85546875" style="329"/>
    <col min="7169" max="7169" width="38.42578125" style="329" customWidth="1"/>
    <col min="7170" max="7170" width="12.85546875" style="329" customWidth="1"/>
    <col min="7171" max="7232" width="0" style="329" hidden="1" customWidth="1"/>
    <col min="7233" max="7250" width="7.5703125" style="329" customWidth="1"/>
    <col min="7251" max="7424" width="8.85546875" style="329"/>
    <col min="7425" max="7425" width="38.42578125" style="329" customWidth="1"/>
    <col min="7426" max="7426" width="12.85546875" style="329" customWidth="1"/>
    <col min="7427" max="7488" width="0" style="329" hidden="1" customWidth="1"/>
    <col min="7489" max="7506" width="7.5703125" style="329" customWidth="1"/>
    <col min="7507" max="7680" width="8.85546875" style="329"/>
    <col min="7681" max="7681" width="38.42578125" style="329" customWidth="1"/>
    <col min="7682" max="7682" width="12.85546875" style="329" customWidth="1"/>
    <col min="7683" max="7744" width="0" style="329" hidden="1" customWidth="1"/>
    <col min="7745" max="7762" width="7.5703125" style="329" customWidth="1"/>
    <col min="7763" max="7936" width="8.85546875" style="329"/>
    <col min="7937" max="7937" width="38.42578125" style="329" customWidth="1"/>
    <col min="7938" max="7938" width="12.85546875" style="329" customWidth="1"/>
    <col min="7939" max="8000" width="0" style="329" hidden="1" customWidth="1"/>
    <col min="8001" max="8018" width="7.5703125" style="329" customWidth="1"/>
    <col min="8019" max="8192" width="8.85546875" style="329"/>
    <col min="8193" max="8193" width="38.42578125" style="329" customWidth="1"/>
    <col min="8194" max="8194" width="12.85546875" style="329" customWidth="1"/>
    <col min="8195" max="8256" width="0" style="329" hidden="1" customWidth="1"/>
    <col min="8257" max="8274" width="7.5703125" style="329" customWidth="1"/>
    <col min="8275" max="8448" width="8.85546875" style="329"/>
    <col min="8449" max="8449" width="38.42578125" style="329" customWidth="1"/>
    <col min="8450" max="8450" width="12.85546875" style="329" customWidth="1"/>
    <col min="8451" max="8512" width="0" style="329" hidden="1" customWidth="1"/>
    <col min="8513" max="8530" width="7.5703125" style="329" customWidth="1"/>
    <col min="8531" max="8704" width="8.85546875" style="329"/>
    <col min="8705" max="8705" width="38.42578125" style="329" customWidth="1"/>
    <col min="8706" max="8706" width="12.85546875" style="329" customWidth="1"/>
    <col min="8707" max="8768" width="0" style="329" hidden="1" customWidth="1"/>
    <col min="8769" max="8786" width="7.5703125" style="329" customWidth="1"/>
    <col min="8787" max="8960" width="8.85546875" style="329"/>
    <col min="8961" max="8961" width="38.42578125" style="329" customWidth="1"/>
    <col min="8962" max="8962" width="12.85546875" style="329" customWidth="1"/>
    <col min="8963" max="9024" width="0" style="329" hidden="1" customWidth="1"/>
    <col min="9025" max="9042" width="7.5703125" style="329" customWidth="1"/>
    <col min="9043" max="9216" width="8.85546875" style="329"/>
    <col min="9217" max="9217" width="38.42578125" style="329" customWidth="1"/>
    <col min="9218" max="9218" width="12.85546875" style="329" customWidth="1"/>
    <col min="9219" max="9280" width="0" style="329" hidden="1" customWidth="1"/>
    <col min="9281" max="9298" width="7.5703125" style="329" customWidth="1"/>
    <col min="9299" max="9472" width="8.85546875" style="329"/>
    <col min="9473" max="9473" width="38.42578125" style="329" customWidth="1"/>
    <col min="9474" max="9474" width="12.85546875" style="329" customWidth="1"/>
    <col min="9475" max="9536" width="0" style="329" hidden="1" customWidth="1"/>
    <col min="9537" max="9554" width="7.5703125" style="329" customWidth="1"/>
    <col min="9555" max="9728" width="8.85546875" style="329"/>
    <col min="9729" max="9729" width="38.42578125" style="329" customWidth="1"/>
    <col min="9730" max="9730" width="12.85546875" style="329" customWidth="1"/>
    <col min="9731" max="9792" width="0" style="329" hidden="1" customWidth="1"/>
    <col min="9793" max="9810" width="7.5703125" style="329" customWidth="1"/>
    <col min="9811" max="9984" width="8.85546875" style="329"/>
    <col min="9985" max="9985" width="38.42578125" style="329" customWidth="1"/>
    <col min="9986" max="9986" width="12.85546875" style="329" customWidth="1"/>
    <col min="9987" max="10048" width="0" style="329" hidden="1" customWidth="1"/>
    <col min="10049" max="10066" width="7.5703125" style="329" customWidth="1"/>
    <col min="10067" max="10240" width="8.85546875" style="329"/>
    <col min="10241" max="10241" width="38.42578125" style="329" customWidth="1"/>
    <col min="10242" max="10242" width="12.85546875" style="329" customWidth="1"/>
    <col min="10243" max="10304" width="0" style="329" hidden="1" customWidth="1"/>
    <col min="10305" max="10322" width="7.5703125" style="329" customWidth="1"/>
    <col min="10323" max="10496" width="8.85546875" style="329"/>
    <col min="10497" max="10497" width="38.42578125" style="329" customWidth="1"/>
    <col min="10498" max="10498" width="12.85546875" style="329" customWidth="1"/>
    <col min="10499" max="10560" width="0" style="329" hidden="1" customWidth="1"/>
    <col min="10561" max="10578" width="7.5703125" style="329" customWidth="1"/>
    <col min="10579" max="10752" width="8.85546875" style="329"/>
    <col min="10753" max="10753" width="38.42578125" style="329" customWidth="1"/>
    <col min="10754" max="10754" width="12.85546875" style="329" customWidth="1"/>
    <col min="10755" max="10816" width="0" style="329" hidden="1" customWidth="1"/>
    <col min="10817" max="10834" width="7.5703125" style="329" customWidth="1"/>
    <col min="10835" max="11008" width="8.85546875" style="329"/>
    <col min="11009" max="11009" width="38.42578125" style="329" customWidth="1"/>
    <col min="11010" max="11010" width="12.85546875" style="329" customWidth="1"/>
    <col min="11011" max="11072" width="0" style="329" hidden="1" customWidth="1"/>
    <col min="11073" max="11090" width="7.5703125" style="329" customWidth="1"/>
    <col min="11091" max="11264" width="8.85546875" style="329"/>
    <col min="11265" max="11265" width="38.42578125" style="329" customWidth="1"/>
    <col min="11266" max="11266" width="12.85546875" style="329" customWidth="1"/>
    <col min="11267" max="11328" width="0" style="329" hidden="1" customWidth="1"/>
    <col min="11329" max="11346" width="7.5703125" style="329" customWidth="1"/>
    <col min="11347" max="11520" width="8.85546875" style="329"/>
    <col min="11521" max="11521" width="38.42578125" style="329" customWidth="1"/>
    <col min="11522" max="11522" width="12.85546875" style="329" customWidth="1"/>
    <col min="11523" max="11584" width="0" style="329" hidden="1" customWidth="1"/>
    <col min="11585" max="11602" width="7.5703125" style="329" customWidth="1"/>
    <col min="11603" max="11776" width="8.85546875" style="329"/>
    <col min="11777" max="11777" width="38.42578125" style="329" customWidth="1"/>
    <col min="11778" max="11778" width="12.85546875" style="329" customWidth="1"/>
    <col min="11779" max="11840" width="0" style="329" hidden="1" customWidth="1"/>
    <col min="11841" max="11858" width="7.5703125" style="329" customWidth="1"/>
    <col min="11859" max="12032" width="8.85546875" style="329"/>
    <col min="12033" max="12033" width="38.42578125" style="329" customWidth="1"/>
    <col min="12034" max="12034" width="12.85546875" style="329" customWidth="1"/>
    <col min="12035" max="12096" width="0" style="329" hidden="1" customWidth="1"/>
    <col min="12097" max="12114" width="7.5703125" style="329" customWidth="1"/>
    <col min="12115" max="12288" width="8.85546875" style="329"/>
    <col min="12289" max="12289" width="38.42578125" style="329" customWidth="1"/>
    <col min="12290" max="12290" width="12.85546875" style="329" customWidth="1"/>
    <col min="12291" max="12352" width="0" style="329" hidden="1" customWidth="1"/>
    <col min="12353" max="12370" width="7.5703125" style="329" customWidth="1"/>
    <col min="12371" max="12544" width="8.85546875" style="329"/>
    <col min="12545" max="12545" width="38.42578125" style="329" customWidth="1"/>
    <col min="12546" max="12546" width="12.85546875" style="329" customWidth="1"/>
    <col min="12547" max="12608" width="0" style="329" hidden="1" customWidth="1"/>
    <col min="12609" max="12626" width="7.5703125" style="329" customWidth="1"/>
    <col min="12627" max="12800" width="8.85546875" style="329"/>
    <col min="12801" max="12801" width="38.42578125" style="329" customWidth="1"/>
    <col min="12802" max="12802" width="12.85546875" style="329" customWidth="1"/>
    <col min="12803" max="12864" width="0" style="329" hidden="1" customWidth="1"/>
    <col min="12865" max="12882" width="7.5703125" style="329" customWidth="1"/>
    <col min="12883" max="13056" width="8.85546875" style="329"/>
    <col min="13057" max="13057" width="38.42578125" style="329" customWidth="1"/>
    <col min="13058" max="13058" width="12.85546875" style="329" customWidth="1"/>
    <col min="13059" max="13120" width="0" style="329" hidden="1" customWidth="1"/>
    <col min="13121" max="13138" width="7.5703125" style="329" customWidth="1"/>
    <col min="13139" max="13312" width="8.85546875" style="329"/>
    <col min="13313" max="13313" width="38.42578125" style="329" customWidth="1"/>
    <col min="13314" max="13314" width="12.85546875" style="329" customWidth="1"/>
    <col min="13315" max="13376" width="0" style="329" hidden="1" customWidth="1"/>
    <col min="13377" max="13394" width="7.5703125" style="329" customWidth="1"/>
    <col min="13395" max="13568" width="8.85546875" style="329"/>
    <col min="13569" max="13569" width="38.42578125" style="329" customWidth="1"/>
    <col min="13570" max="13570" width="12.85546875" style="329" customWidth="1"/>
    <col min="13571" max="13632" width="0" style="329" hidden="1" customWidth="1"/>
    <col min="13633" max="13650" width="7.5703125" style="329" customWidth="1"/>
    <col min="13651" max="13824" width="8.85546875" style="329"/>
    <col min="13825" max="13825" width="38.42578125" style="329" customWidth="1"/>
    <col min="13826" max="13826" width="12.85546875" style="329" customWidth="1"/>
    <col min="13827" max="13888" width="0" style="329" hidden="1" customWidth="1"/>
    <col min="13889" max="13906" width="7.5703125" style="329" customWidth="1"/>
    <col min="13907" max="14080" width="8.85546875" style="329"/>
    <col min="14081" max="14081" width="38.42578125" style="329" customWidth="1"/>
    <col min="14082" max="14082" width="12.85546875" style="329" customWidth="1"/>
    <col min="14083" max="14144" width="0" style="329" hidden="1" customWidth="1"/>
    <col min="14145" max="14162" width="7.5703125" style="329" customWidth="1"/>
    <col min="14163" max="14336" width="8.85546875" style="329"/>
    <col min="14337" max="14337" width="38.42578125" style="329" customWidth="1"/>
    <col min="14338" max="14338" width="12.85546875" style="329" customWidth="1"/>
    <col min="14339" max="14400" width="0" style="329" hidden="1" customWidth="1"/>
    <col min="14401" max="14418" width="7.5703125" style="329" customWidth="1"/>
    <col min="14419" max="14592" width="8.85546875" style="329"/>
    <col min="14593" max="14593" width="38.42578125" style="329" customWidth="1"/>
    <col min="14594" max="14594" width="12.85546875" style="329" customWidth="1"/>
    <col min="14595" max="14656" width="0" style="329" hidden="1" customWidth="1"/>
    <col min="14657" max="14674" width="7.5703125" style="329" customWidth="1"/>
    <col min="14675" max="14848" width="8.85546875" style="329"/>
    <col min="14849" max="14849" width="38.42578125" style="329" customWidth="1"/>
    <col min="14850" max="14850" width="12.85546875" style="329" customWidth="1"/>
    <col min="14851" max="14912" width="0" style="329" hidden="1" customWidth="1"/>
    <col min="14913" max="14930" width="7.5703125" style="329" customWidth="1"/>
    <col min="14931" max="15104" width="8.85546875" style="329"/>
    <col min="15105" max="15105" width="38.42578125" style="329" customWidth="1"/>
    <col min="15106" max="15106" width="12.85546875" style="329" customWidth="1"/>
    <col min="15107" max="15168" width="0" style="329" hidden="1" customWidth="1"/>
    <col min="15169" max="15186" width="7.5703125" style="329" customWidth="1"/>
    <col min="15187" max="15360" width="8.85546875" style="329"/>
    <col min="15361" max="15361" width="38.42578125" style="329" customWidth="1"/>
    <col min="15362" max="15362" width="12.85546875" style="329" customWidth="1"/>
    <col min="15363" max="15424" width="0" style="329" hidden="1" customWidth="1"/>
    <col min="15425" max="15442" width="7.5703125" style="329" customWidth="1"/>
    <col min="15443" max="15616" width="8.85546875" style="329"/>
    <col min="15617" max="15617" width="38.42578125" style="329" customWidth="1"/>
    <col min="15618" max="15618" width="12.85546875" style="329" customWidth="1"/>
    <col min="15619" max="15680" width="0" style="329" hidden="1" customWidth="1"/>
    <col min="15681" max="15698" width="7.5703125" style="329" customWidth="1"/>
    <col min="15699" max="15872" width="8.85546875" style="329"/>
    <col min="15873" max="15873" width="38.42578125" style="329" customWidth="1"/>
    <col min="15874" max="15874" width="12.85546875" style="329" customWidth="1"/>
    <col min="15875" max="15936" width="0" style="329" hidden="1" customWidth="1"/>
    <col min="15937" max="15954" width="7.5703125" style="329" customWidth="1"/>
    <col min="15955" max="16128" width="8.85546875" style="329"/>
    <col min="16129" max="16129" width="38.42578125" style="329" customWidth="1"/>
    <col min="16130" max="16130" width="12.85546875" style="329" customWidth="1"/>
    <col min="16131" max="16192" width="0" style="329" hidden="1" customWidth="1"/>
    <col min="16193" max="16210" width="7.5703125" style="329" customWidth="1"/>
    <col min="16211" max="16384" width="8.85546875" style="329"/>
  </cols>
  <sheetData>
    <row r="1" spans="1:90" ht="18">
      <c r="A1" s="327" t="s">
        <v>67</v>
      </c>
      <c r="B1" s="328"/>
    </row>
    <row r="2" spans="1:90" ht="15.75">
      <c r="A2" s="330" t="s">
        <v>274</v>
      </c>
      <c r="B2" s="331"/>
    </row>
    <row r="3" spans="1:90" ht="15.75" thickBot="1">
      <c r="A3" s="332" t="s">
        <v>68</v>
      </c>
      <c r="B3" s="333"/>
    </row>
    <row r="6" spans="1:90">
      <c r="BM6" s="249" t="s">
        <v>69</v>
      </c>
      <c r="BN6" s="249" t="s">
        <v>69</v>
      </c>
      <c r="BO6" s="249" t="s">
        <v>69</v>
      </c>
      <c r="BP6" s="249" t="s">
        <v>69</v>
      </c>
      <c r="BQ6" s="250" t="s">
        <v>70</v>
      </c>
      <c r="BR6" s="250" t="s">
        <v>70</v>
      </c>
      <c r="BS6" s="250" t="s">
        <v>70</v>
      </c>
      <c r="BT6" s="250" t="s">
        <v>70</v>
      </c>
      <c r="BU6" s="251" t="s">
        <v>71</v>
      </c>
      <c r="BV6" s="251" t="s">
        <v>71</v>
      </c>
      <c r="BW6" s="251" t="s">
        <v>71</v>
      </c>
      <c r="BX6" s="251" t="s">
        <v>71</v>
      </c>
      <c r="BY6" s="252" t="s">
        <v>72</v>
      </c>
      <c r="BZ6" s="252" t="s">
        <v>72</v>
      </c>
      <c r="CA6" s="252" t="s">
        <v>72</v>
      </c>
      <c r="CB6" s="252" t="s">
        <v>72</v>
      </c>
      <c r="CC6" s="335" t="s">
        <v>73</v>
      </c>
      <c r="CD6" s="335" t="s">
        <v>73</v>
      </c>
      <c r="CE6" s="335" t="s">
        <v>73</v>
      </c>
      <c r="CF6" s="335" t="s">
        <v>73</v>
      </c>
      <c r="CG6" s="336" t="s">
        <v>74</v>
      </c>
      <c r="CH6" s="336" t="s">
        <v>74</v>
      </c>
      <c r="CI6" s="336" t="s">
        <v>74</v>
      </c>
      <c r="CJ6" s="336" t="s">
        <v>74</v>
      </c>
    </row>
    <row r="7" spans="1:90" s="334" customFormat="1">
      <c r="B7" s="334" t="s">
        <v>75</v>
      </c>
      <c r="C7" s="337" t="s">
        <v>76</v>
      </c>
      <c r="D7" s="337" t="s">
        <v>77</v>
      </c>
      <c r="E7" s="337" t="s">
        <v>78</v>
      </c>
      <c r="F7" s="337" t="s">
        <v>79</v>
      </c>
      <c r="G7" s="337" t="s">
        <v>80</v>
      </c>
      <c r="H7" s="337" t="s">
        <v>81</v>
      </c>
      <c r="I7" s="337" t="s">
        <v>82</v>
      </c>
      <c r="J7" s="337" t="s">
        <v>83</v>
      </c>
      <c r="K7" s="337" t="s">
        <v>84</v>
      </c>
      <c r="L7" s="337" t="s">
        <v>85</v>
      </c>
      <c r="M7" s="337" t="s">
        <v>86</v>
      </c>
      <c r="N7" s="337" t="s">
        <v>87</v>
      </c>
      <c r="O7" s="337" t="s">
        <v>88</v>
      </c>
      <c r="P7" s="337" t="s">
        <v>89</v>
      </c>
      <c r="Q7" s="337" t="s">
        <v>90</v>
      </c>
      <c r="R7" s="337" t="s">
        <v>91</v>
      </c>
      <c r="S7" s="337" t="s">
        <v>92</v>
      </c>
      <c r="T7" s="337" t="s">
        <v>93</v>
      </c>
      <c r="U7" s="337" t="s">
        <v>94</v>
      </c>
      <c r="V7" s="337" t="s">
        <v>95</v>
      </c>
      <c r="W7" s="337" t="s">
        <v>96</v>
      </c>
      <c r="X7" s="337" t="s">
        <v>97</v>
      </c>
      <c r="Y7" s="337" t="s">
        <v>98</v>
      </c>
      <c r="Z7" s="337" t="s">
        <v>99</v>
      </c>
      <c r="AA7" s="337" t="s">
        <v>100</v>
      </c>
      <c r="AB7" s="337" t="s">
        <v>101</v>
      </c>
      <c r="AC7" s="337" t="s">
        <v>102</v>
      </c>
      <c r="AD7" s="337" t="s">
        <v>103</v>
      </c>
      <c r="AE7" s="337" t="s">
        <v>104</v>
      </c>
      <c r="AF7" s="337" t="s">
        <v>105</v>
      </c>
      <c r="AG7" s="337" t="s">
        <v>106</v>
      </c>
      <c r="AH7" s="337" t="s">
        <v>107</v>
      </c>
      <c r="AI7" s="337" t="s">
        <v>108</v>
      </c>
      <c r="AJ7" s="337" t="s">
        <v>109</v>
      </c>
      <c r="AK7" s="337" t="s">
        <v>110</v>
      </c>
      <c r="AL7" s="337" t="s">
        <v>111</v>
      </c>
      <c r="AM7" s="337" t="s">
        <v>112</v>
      </c>
      <c r="AN7" s="337" t="s">
        <v>113</v>
      </c>
      <c r="AO7" s="337" t="s">
        <v>114</v>
      </c>
      <c r="AP7" s="337" t="s">
        <v>115</v>
      </c>
      <c r="AQ7" s="337" t="s">
        <v>116</v>
      </c>
      <c r="AR7" s="337" t="s">
        <v>117</v>
      </c>
      <c r="AS7" s="337" t="s">
        <v>118</v>
      </c>
      <c r="AT7" s="337" t="s">
        <v>119</v>
      </c>
      <c r="AU7" s="334" t="s">
        <v>120</v>
      </c>
      <c r="AV7" s="334" t="s">
        <v>121</v>
      </c>
      <c r="AW7" s="334" t="s">
        <v>122</v>
      </c>
      <c r="AX7" s="334" t="s">
        <v>123</v>
      </c>
      <c r="AY7" s="334" t="s">
        <v>124</v>
      </c>
      <c r="AZ7" s="334" t="s">
        <v>125</v>
      </c>
      <c r="BA7" s="334" t="s">
        <v>126</v>
      </c>
      <c r="BB7" s="334" t="s">
        <v>127</v>
      </c>
      <c r="BC7" s="334" t="s">
        <v>128</v>
      </c>
      <c r="BD7" s="334" t="s">
        <v>129</v>
      </c>
      <c r="BE7" s="334" t="s">
        <v>130</v>
      </c>
      <c r="BF7" s="334" t="s">
        <v>131</v>
      </c>
      <c r="BG7" s="334" t="s">
        <v>132</v>
      </c>
      <c r="BH7" s="334" t="s">
        <v>133</v>
      </c>
      <c r="BI7" s="334" t="s">
        <v>134</v>
      </c>
      <c r="BJ7" s="334" t="s">
        <v>135</v>
      </c>
      <c r="BK7" s="334" t="s">
        <v>136</v>
      </c>
      <c r="BL7" s="334" t="s">
        <v>137</v>
      </c>
      <c r="BM7" s="334" t="s">
        <v>138</v>
      </c>
      <c r="BN7" s="334" t="s">
        <v>139</v>
      </c>
      <c r="BO7" s="334" t="s">
        <v>140</v>
      </c>
      <c r="BP7" s="334" t="s">
        <v>141</v>
      </c>
      <c r="BQ7" s="334" t="s">
        <v>142</v>
      </c>
      <c r="BR7" s="334" t="s">
        <v>143</v>
      </c>
      <c r="BS7" s="334" t="s">
        <v>144</v>
      </c>
      <c r="BT7" s="334" t="s">
        <v>145</v>
      </c>
      <c r="BU7" s="334" t="s">
        <v>146</v>
      </c>
      <c r="BV7" s="334" t="s">
        <v>147</v>
      </c>
      <c r="BW7" s="334" t="s">
        <v>148</v>
      </c>
      <c r="BX7" s="334" t="s">
        <v>149</v>
      </c>
      <c r="BY7" s="334" t="s">
        <v>150</v>
      </c>
      <c r="BZ7" s="334" t="s">
        <v>151</v>
      </c>
      <c r="CA7" s="334" t="s">
        <v>152</v>
      </c>
      <c r="CB7" s="334" t="s">
        <v>153</v>
      </c>
      <c r="CC7" s="334" t="s">
        <v>154</v>
      </c>
      <c r="CD7" s="334" t="s">
        <v>155</v>
      </c>
      <c r="CE7" s="334" t="s">
        <v>156</v>
      </c>
      <c r="CF7" s="334" t="s">
        <v>157</v>
      </c>
      <c r="CG7" s="334" t="s">
        <v>158</v>
      </c>
      <c r="CH7" s="334" t="s">
        <v>159</v>
      </c>
      <c r="CI7" s="334" t="s">
        <v>160</v>
      </c>
      <c r="CJ7" s="334" t="s">
        <v>161</v>
      </c>
      <c r="CK7" s="334" t="s">
        <v>162</v>
      </c>
      <c r="CL7" s="334" t="s">
        <v>163</v>
      </c>
    </row>
    <row r="8" spans="1:90">
      <c r="A8" s="334" t="s">
        <v>164</v>
      </c>
      <c r="B8" s="334" t="s">
        <v>165</v>
      </c>
      <c r="C8" s="338">
        <v>2.0346113976543099</v>
      </c>
      <c r="D8" s="338">
        <v>2.0596500771746999</v>
      </c>
      <c r="E8" s="338">
        <v>2.0647060372238499</v>
      </c>
      <c r="F8" s="338">
        <v>2.08676028581668</v>
      </c>
      <c r="G8" s="338">
        <v>2.10441481814272</v>
      </c>
      <c r="H8" s="338">
        <v>2.1147152065649601</v>
      </c>
      <c r="I8" s="338">
        <v>2.1510993425276599</v>
      </c>
      <c r="J8" s="338">
        <v>2.1700303556901499</v>
      </c>
      <c r="K8" s="338">
        <v>2.1872092233455001</v>
      </c>
      <c r="L8" s="338">
        <v>2.2125396282877201</v>
      </c>
      <c r="M8" s="338">
        <v>2.2351374505046602</v>
      </c>
      <c r="N8" s="338">
        <v>2.2204817980336999</v>
      </c>
      <c r="O8" s="338">
        <v>2.2320116226990798</v>
      </c>
      <c r="P8" s="338">
        <v>2.2583096838239101</v>
      </c>
      <c r="Q8" s="338">
        <v>2.27564540872048</v>
      </c>
      <c r="R8" s="338">
        <v>2.30212674606845</v>
      </c>
      <c r="S8" s="338">
        <v>2.31936770794078</v>
      </c>
      <c r="T8" s="338">
        <v>2.3630887075886</v>
      </c>
      <c r="U8" s="338">
        <v>2.40401775208483</v>
      </c>
      <c r="V8" s="338">
        <v>2.3508872068266702</v>
      </c>
      <c r="W8" s="338">
        <v>2.3397884211161499</v>
      </c>
      <c r="X8" s="338">
        <v>2.3463315593326199</v>
      </c>
      <c r="Y8" s="338">
        <v>2.3660251530796899</v>
      </c>
      <c r="Z8" s="338">
        <v>2.38072574928248</v>
      </c>
      <c r="AA8" s="338">
        <v>2.3786733941980902</v>
      </c>
      <c r="AB8" s="338">
        <v>2.3833613783132601</v>
      </c>
      <c r="AC8" s="338">
        <v>2.3978430594132099</v>
      </c>
      <c r="AD8" s="338">
        <v>2.42168970868748</v>
      </c>
      <c r="AE8" s="338">
        <v>2.4317072324959299</v>
      </c>
      <c r="AF8" s="338">
        <v>2.47695645025907</v>
      </c>
      <c r="AG8" s="338">
        <v>2.4885116546577</v>
      </c>
      <c r="AH8" s="338">
        <v>2.4969754819522398</v>
      </c>
      <c r="AI8" s="338">
        <v>2.5130795409255899</v>
      </c>
      <c r="AJ8" s="338">
        <v>2.5194466142060299</v>
      </c>
      <c r="AK8" s="338">
        <v>2.52963857685537</v>
      </c>
      <c r="AL8" s="338">
        <v>2.5501989464999602</v>
      </c>
      <c r="AM8" s="338">
        <v>2.55712003670995</v>
      </c>
      <c r="AN8" s="338">
        <v>2.5546952042684001</v>
      </c>
      <c r="AO8" s="338">
        <v>2.57375608575328</v>
      </c>
      <c r="AP8" s="338">
        <v>2.5883411608511002</v>
      </c>
      <c r="AQ8" s="338">
        <v>2.5966793575059901</v>
      </c>
      <c r="AR8" s="338">
        <v>2.6079522450453201</v>
      </c>
      <c r="AS8" s="338">
        <v>2.6142540104276799</v>
      </c>
      <c r="AT8" s="338">
        <v>2.6167589769378798</v>
      </c>
      <c r="AU8" s="338">
        <v>2.6115923571662201</v>
      </c>
      <c r="AV8" s="338">
        <v>2.62275484000673</v>
      </c>
      <c r="AW8" s="338">
        <v>2.6191293013400601</v>
      </c>
      <c r="AX8" s="338">
        <v>2.62627714923654</v>
      </c>
      <c r="AY8" s="338">
        <v>2.6194265314110301</v>
      </c>
      <c r="AZ8" s="338">
        <v>2.6415043138832401</v>
      </c>
      <c r="BA8" s="338">
        <v>2.662062301288</v>
      </c>
      <c r="BB8" s="338">
        <v>2.67729020882655</v>
      </c>
      <c r="BC8" s="338">
        <v>2.6907954146946098</v>
      </c>
      <c r="BD8" s="338">
        <v>2.6947387967675498</v>
      </c>
      <c r="BE8" s="338">
        <v>2.7066859028113202</v>
      </c>
      <c r="BF8" s="338">
        <v>2.72054827789868</v>
      </c>
      <c r="BG8" s="338">
        <v>2.7569640168604699</v>
      </c>
      <c r="BH8" s="338">
        <v>2.7703563734588399</v>
      </c>
      <c r="BI8" s="338">
        <v>2.7758420471732599</v>
      </c>
      <c r="BJ8" s="338">
        <v>2.78863899429814</v>
      </c>
      <c r="BK8" s="338">
        <v>2.80152864366993</v>
      </c>
      <c r="BL8" s="338">
        <v>2.8145299240305102</v>
      </c>
      <c r="BM8" s="338">
        <v>2.8281189721556101</v>
      </c>
      <c r="BN8" s="338">
        <v>2.8436922082042799</v>
      </c>
      <c r="BO8" s="338">
        <v>2.8613737788287201</v>
      </c>
      <c r="BP8" s="338">
        <v>2.8656515498241899</v>
      </c>
      <c r="BQ8" s="338">
        <v>2.9040288860327399</v>
      </c>
      <c r="BR8" s="338">
        <v>2.91977882121695</v>
      </c>
      <c r="BS8" s="338">
        <v>2.93326675921104</v>
      </c>
      <c r="BT8" s="338">
        <v>2.97685668244746</v>
      </c>
      <c r="BU8" s="338">
        <v>3.0371208125829399</v>
      </c>
      <c r="BV8" s="338">
        <v>3.1020153690202301</v>
      </c>
      <c r="BW8" s="338">
        <v>3.1100610044392401</v>
      </c>
      <c r="BX8" s="338">
        <v>3.1395252293610501</v>
      </c>
      <c r="BY8" s="338">
        <v>3.1649822337431801</v>
      </c>
      <c r="BZ8" s="338">
        <v>3.1857564897189699</v>
      </c>
      <c r="CA8" s="338">
        <v>3.2089601115627802</v>
      </c>
      <c r="CB8" s="338">
        <v>3.2251006295920801</v>
      </c>
      <c r="CC8" s="338">
        <v>3.2438223796834902</v>
      </c>
      <c r="CD8" s="338">
        <v>3.2612789195942602</v>
      </c>
      <c r="CE8" s="338">
        <v>3.2772287993110498</v>
      </c>
      <c r="CF8" s="338">
        <v>3.29441871755468</v>
      </c>
      <c r="CG8" s="338">
        <v>3.3120850786098299</v>
      </c>
      <c r="CH8" s="338">
        <v>3.3308896530961198</v>
      </c>
      <c r="CI8" s="338">
        <v>3.34923634399235</v>
      </c>
      <c r="CJ8" s="338">
        <v>3.3692526326061798</v>
      </c>
      <c r="CK8" s="338">
        <v>3.3881610508489999</v>
      </c>
      <c r="CL8" s="338">
        <v>3.4084892012091399</v>
      </c>
    </row>
    <row r="9" spans="1:90">
      <c r="A9" s="334" t="s">
        <v>166</v>
      </c>
      <c r="B9" s="334" t="s">
        <v>167</v>
      </c>
      <c r="C9" s="338">
        <v>2.0346113976543099</v>
      </c>
      <c r="D9" s="338">
        <v>2.0596500771746999</v>
      </c>
      <c r="E9" s="338">
        <v>2.0647060372238499</v>
      </c>
      <c r="F9" s="338">
        <v>2.08676028581668</v>
      </c>
      <c r="G9" s="338">
        <v>2.10441481814272</v>
      </c>
      <c r="H9" s="338">
        <v>2.1147152065649601</v>
      </c>
      <c r="I9" s="338">
        <v>2.1510993425276599</v>
      </c>
      <c r="J9" s="338">
        <v>2.1700303556901499</v>
      </c>
      <c r="K9" s="338">
        <v>2.1872092233455001</v>
      </c>
      <c r="L9" s="338">
        <v>2.2125396282877201</v>
      </c>
      <c r="M9" s="338">
        <v>2.2351374505046602</v>
      </c>
      <c r="N9" s="338">
        <v>2.2204817980336999</v>
      </c>
      <c r="O9" s="338">
        <v>2.2320116226990798</v>
      </c>
      <c r="P9" s="338">
        <v>2.2583096838239101</v>
      </c>
      <c r="Q9" s="338">
        <v>2.27564540872048</v>
      </c>
      <c r="R9" s="338">
        <v>2.30212674606845</v>
      </c>
      <c r="S9" s="338">
        <v>2.31936770794078</v>
      </c>
      <c r="T9" s="338">
        <v>2.3630887075886</v>
      </c>
      <c r="U9" s="338">
        <v>2.40401775208483</v>
      </c>
      <c r="V9" s="338">
        <v>2.3508872068266702</v>
      </c>
      <c r="W9" s="338">
        <v>2.3397884211161499</v>
      </c>
      <c r="X9" s="338">
        <v>2.3463315593326199</v>
      </c>
      <c r="Y9" s="338">
        <v>2.3660251530796899</v>
      </c>
      <c r="Z9" s="338">
        <v>2.38072574928248</v>
      </c>
      <c r="AA9" s="338">
        <v>2.3786733941980902</v>
      </c>
      <c r="AB9" s="338">
        <v>2.3833613783132601</v>
      </c>
      <c r="AC9" s="338">
        <v>2.3978430594132099</v>
      </c>
      <c r="AD9" s="338">
        <v>2.42168970868748</v>
      </c>
      <c r="AE9" s="338">
        <v>2.4317072324959299</v>
      </c>
      <c r="AF9" s="338">
        <v>2.47695645025907</v>
      </c>
      <c r="AG9" s="338">
        <v>2.4885116546577</v>
      </c>
      <c r="AH9" s="338">
        <v>2.4969754819522398</v>
      </c>
      <c r="AI9" s="338">
        <v>2.5130795409255899</v>
      </c>
      <c r="AJ9" s="338">
        <v>2.5194466142060299</v>
      </c>
      <c r="AK9" s="338">
        <v>2.52963857685537</v>
      </c>
      <c r="AL9" s="338">
        <v>2.5501989464999602</v>
      </c>
      <c r="AM9" s="338">
        <v>2.55712003670995</v>
      </c>
      <c r="AN9" s="338">
        <v>2.5546952042684001</v>
      </c>
      <c r="AO9" s="338">
        <v>2.57375608575328</v>
      </c>
      <c r="AP9" s="338">
        <v>2.5883411608511002</v>
      </c>
      <c r="AQ9" s="338">
        <v>2.5966793575059901</v>
      </c>
      <c r="AR9" s="338">
        <v>2.6079522450453201</v>
      </c>
      <c r="AS9" s="338">
        <v>2.6142540104276799</v>
      </c>
      <c r="AT9" s="338">
        <v>2.6167589769378798</v>
      </c>
      <c r="AU9" s="338">
        <v>2.6115923571662201</v>
      </c>
      <c r="AV9" s="338">
        <v>2.62275484000673</v>
      </c>
      <c r="AW9" s="338">
        <v>2.6191293013400601</v>
      </c>
      <c r="AX9" s="338">
        <v>2.62627714923654</v>
      </c>
      <c r="AY9" s="338">
        <v>2.6194265314110301</v>
      </c>
      <c r="AZ9" s="338">
        <v>2.6415043138832401</v>
      </c>
      <c r="BA9" s="338">
        <v>2.662062301288</v>
      </c>
      <c r="BB9" s="338">
        <v>2.67729020882655</v>
      </c>
      <c r="BC9" s="338">
        <v>2.6907954146946098</v>
      </c>
      <c r="BD9" s="338">
        <v>2.6947387967675498</v>
      </c>
      <c r="BE9" s="338">
        <v>2.7066859028113202</v>
      </c>
      <c r="BF9" s="338">
        <v>2.72054827789868</v>
      </c>
      <c r="BG9" s="338">
        <v>2.7569640168604699</v>
      </c>
      <c r="BH9" s="338">
        <v>2.7703563734588399</v>
      </c>
      <c r="BI9" s="338">
        <v>2.7758420471732599</v>
      </c>
      <c r="BJ9" s="338">
        <v>2.78863899429814</v>
      </c>
      <c r="BK9" s="338">
        <v>2.80152864366993</v>
      </c>
      <c r="BL9" s="338">
        <v>2.8145299240305102</v>
      </c>
      <c r="BM9" s="338">
        <v>2.8281189721556101</v>
      </c>
      <c r="BN9" s="338">
        <v>2.8436922082042799</v>
      </c>
      <c r="BO9" s="338">
        <v>2.8613737788287201</v>
      </c>
      <c r="BP9" s="338">
        <v>2.8656515498241899</v>
      </c>
      <c r="BQ9" s="338">
        <v>2.9040288860327399</v>
      </c>
      <c r="BR9" s="338">
        <v>2.91977882121695</v>
      </c>
      <c r="BS9" s="338">
        <v>2.93326675921104</v>
      </c>
      <c r="BT9" s="338">
        <v>2.97685668244746</v>
      </c>
      <c r="BU9" s="338">
        <v>3.0371208125829399</v>
      </c>
      <c r="BV9" s="338">
        <v>3.0959472484614499</v>
      </c>
      <c r="BW9" s="338">
        <v>3.0976631041438898</v>
      </c>
      <c r="BX9" s="338">
        <v>3.1216976513906798</v>
      </c>
      <c r="BY9" s="338">
        <v>3.1419964810498202</v>
      </c>
      <c r="BZ9" s="338">
        <v>3.1572395520324501</v>
      </c>
      <c r="CA9" s="338">
        <v>3.1752468332852302</v>
      </c>
      <c r="CB9" s="338">
        <v>3.1874038099320501</v>
      </c>
      <c r="CC9" s="338">
        <v>3.2020926608413101</v>
      </c>
      <c r="CD9" s="338">
        <v>3.2161508717239098</v>
      </c>
      <c r="CE9" s="338">
        <v>3.22822510404264</v>
      </c>
      <c r="CF9" s="338">
        <v>3.2415569103144701</v>
      </c>
      <c r="CG9" s="338">
        <v>3.2555670741349401</v>
      </c>
      <c r="CH9" s="338">
        <v>3.2707270341806298</v>
      </c>
      <c r="CI9" s="338">
        <v>3.2856628789659599</v>
      </c>
      <c r="CJ9" s="338">
        <v>3.3023973816657799</v>
      </c>
      <c r="CK9" s="338">
        <v>3.3181498816848198</v>
      </c>
      <c r="CL9" s="338">
        <v>3.3354145185996198</v>
      </c>
    </row>
    <row r="10" spans="1:90">
      <c r="A10" s="334" t="s">
        <v>168</v>
      </c>
      <c r="B10" s="334" t="s">
        <v>169</v>
      </c>
      <c r="C10" s="338">
        <v>2.0346113976543099</v>
      </c>
      <c r="D10" s="338">
        <v>2.0596500771746999</v>
      </c>
      <c r="E10" s="338">
        <v>2.0647060372238499</v>
      </c>
      <c r="F10" s="338">
        <v>2.08676028581668</v>
      </c>
      <c r="G10" s="338">
        <v>2.10441481814272</v>
      </c>
      <c r="H10" s="338">
        <v>2.1147152065649601</v>
      </c>
      <c r="I10" s="338">
        <v>2.1510993425276599</v>
      </c>
      <c r="J10" s="338">
        <v>2.1700303556901499</v>
      </c>
      <c r="K10" s="338">
        <v>2.1872092233455001</v>
      </c>
      <c r="L10" s="338">
        <v>2.2125396282877201</v>
      </c>
      <c r="M10" s="338">
        <v>2.2351374505046602</v>
      </c>
      <c r="N10" s="338">
        <v>2.2204817980336999</v>
      </c>
      <c r="O10" s="338">
        <v>2.2320116226990798</v>
      </c>
      <c r="P10" s="338">
        <v>2.2583096838239101</v>
      </c>
      <c r="Q10" s="338">
        <v>2.27564540872048</v>
      </c>
      <c r="R10" s="338">
        <v>2.30212674606845</v>
      </c>
      <c r="S10" s="338">
        <v>2.31936770794078</v>
      </c>
      <c r="T10" s="338">
        <v>2.3630887075886</v>
      </c>
      <c r="U10" s="338">
        <v>2.40401775208483</v>
      </c>
      <c r="V10" s="338">
        <v>2.3508872068266702</v>
      </c>
      <c r="W10" s="338">
        <v>2.3397884211161499</v>
      </c>
      <c r="X10" s="338">
        <v>2.3463315593326199</v>
      </c>
      <c r="Y10" s="338">
        <v>2.3660251530796899</v>
      </c>
      <c r="Z10" s="338">
        <v>2.38072574928248</v>
      </c>
      <c r="AA10" s="338">
        <v>2.3786733941980902</v>
      </c>
      <c r="AB10" s="338">
        <v>2.3833613783132601</v>
      </c>
      <c r="AC10" s="338">
        <v>2.3978430594132099</v>
      </c>
      <c r="AD10" s="338">
        <v>2.42168970868748</v>
      </c>
      <c r="AE10" s="338">
        <v>2.4317072324959299</v>
      </c>
      <c r="AF10" s="338">
        <v>2.47695645025907</v>
      </c>
      <c r="AG10" s="338">
        <v>2.4885116546577</v>
      </c>
      <c r="AH10" s="338">
        <v>2.4969754819522398</v>
      </c>
      <c r="AI10" s="338">
        <v>2.5130795409255899</v>
      </c>
      <c r="AJ10" s="338">
        <v>2.5194466142060299</v>
      </c>
      <c r="AK10" s="338">
        <v>2.52963857685537</v>
      </c>
      <c r="AL10" s="338">
        <v>2.5501989464999602</v>
      </c>
      <c r="AM10" s="338">
        <v>2.55712003670995</v>
      </c>
      <c r="AN10" s="338">
        <v>2.5546952042684001</v>
      </c>
      <c r="AO10" s="338">
        <v>2.57375608575328</v>
      </c>
      <c r="AP10" s="338">
        <v>2.5883411608511002</v>
      </c>
      <c r="AQ10" s="338">
        <v>2.5966793575059901</v>
      </c>
      <c r="AR10" s="338">
        <v>2.6079522450453201</v>
      </c>
      <c r="AS10" s="338">
        <v>2.6142540104276799</v>
      </c>
      <c r="AT10" s="338">
        <v>2.6167589769378798</v>
      </c>
      <c r="AU10" s="338">
        <v>2.6115923571662201</v>
      </c>
      <c r="AV10" s="338">
        <v>2.62275484000673</v>
      </c>
      <c r="AW10" s="338">
        <v>2.6191293013400601</v>
      </c>
      <c r="AX10" s="338">
        <v>2.62627714923654</v>
      </c>
      <c r="AY10" s="338">
        <v>2.6194265314110301</v>
      </c>
      <c r="AZ10" s="338">
        <v>2.6415043138832401</v>
      </c>
      <c r="BA10" s="338">
        <v>2.662062301288</v>
      </c>
      <c r="BB10" s="338">
        <v>2.67729020882655</v>
      </c>
      <c r="BC10" s="338">
        <v>2.6907954146946098</v>
      </c>
      <c r="BD10" s="338">
        <v>2.6947387967675498</v>
      </c>
      <c r="BE10" s="338">
        <v>2.7066859028113202</v>
      </c>
      <c r="BF10" s="338">
        <v>2.72054827789868</v>
      </c>
      <c r="BG10" s="338">
        <v>2.7569640168604699</v>
      </c>
      <c r="BH10" s="338">
        <v>2.7703563734588399</v>
      </c>
      <c r="BI10" s="338">
        <v>2.7758420471732599</v>
      </c>
      <c r="BJ10" s="338">
        <v>2.78863899429814</v>
      </c>
      <c r="BK10" s="338">
        <v>2.80152864366993</v>
      </c>
      <c r="BL10" s="338">
        <v>2.8145299240305102</v>
      </c>
      <c r="BM10" s="338">
        <v>2.8281189721556101</v>
      </c>
      <c r="BN10" s="338">
        <v>2.8436922082042799</v>
      </c>
      <c r="BO10" s="338">
        <v>2.8613737788287201</v>
      </c>
      <c r="BP10" s="338">
        <v>2.8656515498241899</v>
      </c>
      <c r="BQ10" s="338">
        <v>2.9040288860327399</v>
      </c>
      <c r="BR10" s="338">
        <v>2.91977882121695</v>
      </c>
      <c r="BS10" s="338">
        <v>2.93326675921104</v>
      </c>
      <c r="BT10" s="338">
        <v>2.97685668244746</v>
      </c>
      <c r="BU10" s="338">
        <v>3.0371208125829399</v>
      </c>
      <c r="BV10" s="338">
        <v>3.1088573789987799</v>
      </c>
      <c r="BW10" s="338">
        <v>3.1239179214581299</v>
      </c>
      <c r="BX10" s="338">
        <v>3.1603777797394499</v>
      </c>
      <c r="BY10" s="338">
        <v>3.19320129266299</v>
      </c>
      <c r="BZ10" s="338">
        <v>3.2216577384305198</v>
      </c>
      <c r="CA10" s="338">
        <v>3.2523592132470598</v>
      </c>
      <c r="CB10" s="338">
        <v>3.2758148065757999</v>
      </c>
      <c r="CC10" s="338">
        <v>3.3018263656289402</v>
      </c>
      <c r="CD10" s="338">
        <v>3.3267091139689202</v>
      </c>
      <c r="CE10" s="338">
        <v>3.3503420472321199</v>
      </c>
      <c r="CF10" s="338">
        <v>3.3755320197722698</v>
      </c>
      <c r="CG10" s="338">
        <v>3.4013821049706801</v>
      </c>
      <c r="CH10" s="338">
        <v>3.4285196349741498</v>
      </c>
      <c r="CI10" s="338">
        <v>3.4554729414972001</v>
      </c>
      <c r="CJ10" s="338">
        <v>3.4846161149341701</v>
      </c>
      <c r="CK10" s="338">
        <v>3.51305467966387</v>
      </c>
      <c r="CL10" s="338">
        <v>3.5434825289363499</v>
      </c>
    </row>
    <row r="12" spans="1:90">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row>
    <row r="13" spans="1:90">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BS13" s="253" t="s">
        <v>170</v>
      </c>
      <c r="BT13" s="254"/>
      <c r="BU13" s="254"/>
      <c r="BV13" s="255" t="s">
        <v>171</v>
      </c>
      <c r="BW13" s="256"/>
      <c r="BX13" s="256"/>
      <c r="BY13" s="256"/>
      <c r="BZ13" s="256"/>
      <c r="CA13" s="256"/>
      <c r="CB13" s="254"/>
      <c r="CC13" s="254"/>
      <c r="CD13" s="254"/>
    </row>
    <row r="14" spans="1:90">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BS14" s="257"/>
      <c r="BT14" s="258"/>
      <c r="BU14" s="258"/>
      <c r="BV14" s="258"/>
      <c r="BW14" s="258"/>
      <c r="BX14" s="258"/>
      <c r="BY14" s="258"/>
      <c r="BZ14" s="258"/>
      <c r="CA14" s="258"/>
      <c r="CB14" s="258"/>
      <c r="CC14" s="258"/>
      <c r="CD14" s="259"/>
    </row>
    <row r="15" spans="1:90">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38"/>
      <c r="AS15" s="338"/>
      <c r="AT15" s="338"/>
      <c r="BS15" s="260"/>
      <c r="BT15" s="325" t="s">
        <v>172</v>
      </c>
      <c r="BU15" s="261" t="str">
        <f>BX7</f>
        <v>2022Q2</v>
      </c>
      <c r="BV15" s="254"/>
      <c r="BW15" s="254"/>
      <c r="BX15" s="254"/>
      <c r="BY15" s="254"/>
      <c r="BZ15" s="254"/>
      <c r="CA15" s="254"/>
      <c r="CB15" s="254"/>
      <c r="CC15" s="254"/>
      <c r="CD15" s="262"/>
    </row>
    <row r="16" spans="1:90">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338"/>
      <c r="BS16" s="260"/>
      <c r="BT16" s="254"/>
      <c r="BU16" s="340" t="s">
        <v>173</v>
      </c>
      <c r="BV16" s="254"/>
      <c r="BW16" s="254"/>
      <c r="BX16" s="254"/>
      <c r="BY16" s="254"/>
      <c r="BZ16" s="254"/>
      <c r="CA16" s="254"/>
      <c r="CB16" s="254"/>
      <c r="CC16" s="254"/>
      <c r="CD16" s="263" t="s">
        <v>174</v>
      </c>
    </row>
    <row r="17" spans="3:82">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BS17" s="260"/>
      <c r="BT17" s="254"/>
      <c r="BU17" s="342">
        <f>BX9</f>
        <v>3.1216976513906798</v>
      </c>
      <c r="BV17" s="264"/>
      <c r="BW17" s="254"/>
      <c r="BX17" s="254"/>
      <c r="BY17" s="254"/>
      <c r="BZ17" s="254"/>
      <c r="CA17" s="254"/>
      <c r="CB17" s="254"/>
      <c r="CC17" s="254"/>
      <c r="CD17" s="265">
        <f>BU17</f>
        <v>3.1216976513906798</v>
      </c>
    </row>
    <row r="18" spans="3:82">
      <c r="BS18" s="260"/>
      <c r="BT18" s="254"/>
      <c r="BU18" s="254"/>
      <c r="BV18" s="254"/>
      <c r="BW18" s="254"/>
      <c r="BX18" s="254"/>
      <c r="BY18" s="254"/>
      <c r="BZ18" s="254"/>
      <c r="CA18" s="254"/>
      <c r="CB18" s="254"/>
      <c r="CC18" s="254"/>
      <c r="CD18" s="266"/>
    </row>
    <row r="19" spans="3:82">
      <c r="BS19" s="727" t="s">
        <v>175</v>
      </c>
      <c r="BT19" s="728"/>
      <c r="BU19" s="728"/>
      <c r="BV19" s="254" t="s">
        <v>176</v>
      </c>
      <c r="BW19" s="254"/>
      <c r="BX19" s="254"/>
      <c r="BY19" s="254"/>
      <c r="BZ19" s="254"/>
      <c r="CA19" s="254"/>
      <c r="CB19" s="254"/>
      <c r="CC19" s="254"/>
      <c r="CD19" s="266"/>
    </row>
    <row r="20" spans="3:82">
      <c r="BS20" s="324"/>
      <c r="BT20" s="325"/>
      <c r="BU20" s="261" t="str">
        <f>BY7</f>
        <v>2022Q3</v>
      </c>
      <c r="BV20" s="261" t="str">
        <f t="shared" ref="BV20:CB20" si="0">BZ7</f>
        <v>2022Q4</v>
      </c>
      <c r="BW20" s="261" t="str">
        <f t="shared" si="0"/>
        <v>2023Q1</v>
      </c>
      <c r="BX20" s="261" t="str">
        <f t="shared" si="0"/>
        <v>2023Q2</v>
      </c>
      <c r="BY20" s="261" t="str">
        <f t="shared" si="0"/>
        <v>2023Q3</v>
      </c>
      <c r="BZ20" s="261" t="str">
        <f t="shared" si="0"/>
        <v>2023Q4</v>
      </c>
      <c r="CA20" s="261" t="str">
        <f t="shared" si="0"/>
        <v>2024Q1</v>
      </c>
      <c r="CB20" s="261" t="str">
        <f t="shared" si="0"/>
        <v>2024Q2</v>
      </c>
      <c r="CC20" s="254"/>
      <c r="CD20" s="266"/>
    </row>
    <row r="21" spans="3:82">
      <c r="BS21" s="260"/>
      <c r="BT21" s="254"/>
      <c r="BU21" s="343" t="str">
        <f>BY6</f>
        <v>FY23</v>
      </c>
      <c r="BV21" s="343" t="str">
        <f t="shared" ref="BV21:CB21" si="1">BZ6</f>
        <v>FY23</v>
      </c>
      <c r="BW21" s="343" t="str">
        <f t="shared" si="1"/>
        <v>FY23</v>
      </c>
      <c r="BX21" s="343" t="str">
        <f t="shared" si="1"/>
        <v>FY23</v>
      </c>
      <c r="BY21" s="343" t="str">
        <f t="shared" si="1"/>
        <v>FY24</v>
      </c>
      <c r="BZ21" s="343" t="str">
        <f t="shared" si="1"/>
        <v>FY24</v>
      </c>
      <c r="CA21" s="343" t="str">
        <f t="shared" si="1"/>
        <v>FY24</v>
      </c>
      <c r="CB21" s="343" t="str">
        <f t="shared" si="1"/>
        <v>FY24</v>
      </c>
      <c r="CC21" s="254"/>
      <c r="CD21" s="266"/>
    </row>
    <row r="22" spans="3:82">
      <c r="BS22" s="260"/>
      <c r="BT22" s="254"/>
      <c r="BU22" s="344">
        <f>BY9</f>
        <v>3.1419964810498202</v>
      </c>
      <c r="BV22" s="344">
        <f t="shared" ref="BV22:CB22" si="2">BZ9</f>
        <v>3.1572395520324501</v>
      </c>
      <c r="BW22" s="344">
        <f t="shared" si="2"/>
        <v>3.1752468332852302</v>
      </c>
      <c r="BX22" s="344">
        <f t="shared" si="2"/>
        <v>3.1874038099320501</v>
      </c>
      <c r="BY22" s="344">
        <f t="shared" si="2"/>
        <v>3.2020926608413101</v>
      </c>
      <c r="BZ22" s="344">
        <f t="shared" si="2"/>
        <v>3.2161508717239098</v>
      </c>
      <c r="CA22" s="344">
        <f t="shared" si="2"/>
        <v>3.22822510404264</v>
      </c>
      <c r="CB22" s="344">
        <f t="shared" si="2"/>
        <v>3.2415569103144701</v>
      </c>
      <c r="CC22" s="254"/>
      <c r="CD22" s="265">
        <f>AVERAGE(BU22:CB22)</f>
        <v>3.1937390279027351</v>
      </c>
    </row>
    <row r="23" spans="3:82">
      <c r="BS23" s="260"/>
      <c r="BT23" s="254"/>
      <c r="BU23" s="254"/>
      <c r="BV23" s="254"/>
      <c r="BW23" s="254"/>
      <c r="BX23" s="254"/>
      <c r="BY23" s="254"/>
      <c r="BZ23" s="254"/>
      <c r="CA23" s="254"/>
      <c r="CB23" s="254"/>
      <c r="CC23" s="254"/>
      <c r="CD23" s="266"/>
    </row>
    <row r="24" spans="3:82">
      <c r="BS24" s="260"/>
      <c r="BT24" s="254"/>
      <c r="BU24" s="254"/>
      <c r="BV24" s="254"/>
      <c r="BW24" s="254"/>
      <c r="BX24" s="254"/>
      <c r="BY24" s="254"/>
      <c r="BZ24" s="254"/>
      <c r="CA24" s="254"/>
      <c r="CB24" s="254"/>
      <c r="CC24" s="267" t="s">
        <v>177</v>
      </c>
      <c r="CD24" s="345">
        <f>(CD22-CD17)/CD17</f>
        <v>2.3077627802923752E-2</v>
      </c>
    </row>
    <row r="25" spans="3:82">
      <c r="BS25" s="268"/>
      <c r="BT25" s="269"/>
      <c r="BU25" s="269"/>
      <c r="BV25" s="269"/>
      <c r="BW25" s="269"/>
      <c r="BX25" s="269"/>
      <c r="BY25" s="269"/>
      <c r="BZ25" s="269"/>
      <c r="CA25" s="269"/>
      <c r="CB25" s="269"/>
      <c r="CC25" s="269"/>
      <c r="CD25" s="270"/>
    </row>
  </sheetData>
  <mergeCells count="1">
    <mergeCell ref="BS19:BU19"/>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6B48-A25F-4D46-B7B6-583DD15B8E85}">
  <dimension ref="A1:DB29"/>
  <sheetViews>
    <sheetView topLeftCell="CB1" workbookViewId="0">
      <selection activeCell="U38" sqref="U38"/>
    </sheetView>
  </sheetViews>
  <sheetFormatPr defaultColWidth="8.7109375" defaultRowHeight="12.75"/>
  <cols>
    <col min="1" max="1" width="38.42578125" style="613" customWidth="1"/>
    <col min="2" max="2" width="12.85546875" style="618" customWidth="1"/>
    <col min="3" max="82" width="7.7109375" style="613" customWidth="1"/>
    <col min="83" max="16384" width="8.7109375" style="613"/>
  </cols>
  <sheetData>
    <row r="1" spans="1:106" ht="18">
      <c r="A1" s="729" t="s">
        <v>67</v>
      </c>
      <c r="B1" s="730"/>
    </row>
    <row r="2" spans="1:106" ht="15.75">
      <c r="A2" s="614" t="s">
        <v>371</v>
      </c>
      <c r="B2" s="615"/>
    </row>
    <row r="3" spans="1:106" ht="15.75" thickBot="1">
      <c r="A3" s="616" t="s">
        <v>68</v>
      </c>
      <c r="B3" s="617"/>
    </row>
    <row r="7" spans="1:106" s="618" customFormat="1">
      <c r="B7" s="618" t="s">
        <v>75</v>
      </c>
      <c r="C7" s="619" t="s">
        <v>76</v>
      </c>
      <c r="D7" s="619" t="s">
        <v>77</v>
      </c>
      <c r="E7" s="619" t="s">
        <v>78</v>
      </c>
      <c r="F7" s="619" t="s">
        <v>79</v>
      </c>
      <c r="G7" s="619" t="s">
        <v>80</v>
      </c>
      <c r="H7" s="619" t="s">
        <v>81</v>
      </c>
      <c r="I7" s="619" t="s">
        <v>82</v>
      </c>
      <c r="J7" s="619" t="s">
        <v>83</v>
      </c>
      <c r="K7" s="619" t="s">
        <v>84</v>
      </c>
      <c r="L7" s="619" t="s">
        <v>85</v>
      </c>
      <c r="M7" s="619" t="s">
        <v>86</v>
      </c>
      <c r="N7" s="619" t="s">
        <v>87</v>
      </c>
      <c r="O7" s="619" t="s">
        <v>88</v>
      </c>
      <c r="P7" s="619" t="s">
        <v>89</v>
      </c>
      <c r="Q7" s="619" t="s">
        <v>90</v>
      </c>
      <c r="R7" s="619" t="s">
        <v>91</v>
      </c>
      <c r="S7" s="619" t="s">
        <v>92</v>
      </c>
      <c r="T7" s="619" t="s">
        <v>93</v>
      </c>
      <c r="U7" s="619" t="s">
        <v>94</v>
      </c>
      <c r="V7" s="619" t="s">
        <v>95</v>
      </c>
      <c r="W7" s="619" t="s">
        <v>96</v>
      </c>
      <c r="X7" s="619" t="s">
        <v>97</v>
      </c>
      <c r="Y7" s="619" t="s">
        <v>98</v>
      </c>
      <c r="Z7" s="619" t="s">
        <v>99</v>
      </c>
      <c r="AA7" s="619" t="s">
        <v>100</v>
      </c>
      <c r="AB7" s="619" t="s">
        <v>101</v>
      </c>
      <c r="AC7" s="619" t="s">
        <v>102</v>
      </c>
      <c r="AD7" s="619" t="s">
        <v>103</v>
      </c>
      <c r="AE7" s="619" t="s">
        <v>104</v>
      </c>
      <c r="AF7" s="619" t="s">
        <v>105</v>
      </c>
      <c r="AG7" s="619" t="s">
        <v>106</v>
      </c>
      <c r="AH7" s="619" t="s">
        <v>107</v>
      </c>
      <c r="AI7" s="619" t="s">
        <v>108</v>
      </c>
      <c r="AJ7" s="619" t="s">
        <v>109</v>
      </c>
      <c r="AK7" s="619" t="s">
        <v>110</v>
      </c>
      <c r="AL7" s="619" t="s">
        <v>111</v>
      </c>
      <c r="AM7" s="619" t="s">
        <v>112</v>
      </c>
      <c r="AN7" s="619" t="s">
        <v>113</v>
      </c>
      <c r="AO7" s="619" t="s">
        <v>114</v>
      </c>
      <c r="AP7" s="619" t="s">
        <v>115</v>
      </c>
      <c r="AQ7" s="619" t="s">
        <v>116</v>
      </c>
      <c r="AR7" s="619" t="s">
        <v>117</v>
      </c>
      <c r="AS7" s="619" t="s">
        <v>118</v>
      </c>
      <c r="AT7" s="619" t="s">
        <v>119</v>
      </c>
      <c r="AU7" s="618" t="s">
        <v>120</v>
      </c>
      <c r="AV7" s="618" t="s">
        <v>121</v>
      </c>
      <c r="AW7" s="618" t="s">
        <v>122</v>
      </c>
      <c r="AX7" s="618" t="s">
        <v>123</v>
      </c>
      <c r="AY7" s="618" t="s">
        <v>124</v>
      </c>
      <c r="AZ7" s="618" t="s">
        <v>125</v>
      </c>
      <c r="BA7" s="618" t="s">
        <v>126</v>
      </c>
      <c r="BB7" s="618" t="s">
        <v>127</v>
      </c>
      <c r="BC7" s="618" t="s">
        <v>128</v>
      </c>
      <c r="BD7" s="618" t="s">
        <v>129</v>
      </c>
      <c r="BE7" s="618" t="s">
        <v>130</v>
      </c>
      <c r="BF7" s="618" t="s">
        <v>131</v>
      </c>
      <c r="BG7" s="618" t="s">
        <v>132</v>
      </c>
      <c r="BH7" s="618" t="s">
        <v>133</v>
      </c>
      <c r="BI7" s="618" t="s">
        <v>134</v>
      </c>
      <c r="BJ7" s="618" t="s">
        <v>135</v>
      </c>
      <c r="BK7" s="618" t="s">
        <v>136</v>
      </c>
      <c r="BL7" s="618" t="s">
        <v>137</v>
      </c>
      <c r="BM7" s="618" t="s">
        <v>138</v>
      </c>
      <c r="BN7" s="618" t="s">
        <v>139</v>
      </c>
      <c r="BO7" s="618" t="s">
        <v>140</v>
      </c>
      <c r="BP7" s="618" t="s">
        <v>141</v>
      </c>
      <c r="BQ7" s="618" t="s">
        <v>142</v>
      </c>
      <c r="BR7" s="618" t="s">
        <v>143</v>
      </c>
      <c r="BS7" s="618" t="s">
        <v>144</v>
      </c>
      <c r="BT7" s="618" t="s">
        <v>145</v>
      </c>
      <c r="BU7" s="618" t="s">
        <v>146</v>
      </c>
      <c r="BV7" s="618" t="s">
        <v>147</v>
      </c>
      <c r="BW7" s="618" t="s">
        <v>148</v>
      </c>
      <c r="BX7" s="618" t="s">
        <v>149</v>
      </c>
      <c r="BY7" s="618" t="s">
        <v>150</v>
      </c>
      <c r="BZ7" s="618" t="s">
        <v>151</v>
      </c>
      <c r="CA7" s="618" t="s">
        <v>152</v>
      </c>
      <c r="CB7" s="618" t="s">
        <v>153</v>
      </c>
      <c r="CC7" s="618" t="s">
        <v>154</v>
      </c>
      <c r="CD7" s="618" t="s">
        <v>155</v>
      </c>
      <c r="CE7" s="618" t="s">
        <v>156</v>
      </c>
      <c r="CF7" s="618" t="s">
        <v>157</v>
      </c>
      <c r="CG7" s="618" t="s">
        <v>158</v>
      </c>
      <c r="CH7" s="618" t="s">
        <v>159</v>
      </c>
      <c r="CI7" s="618" t="s">
        <v>160</v>
      </c>
      <c r="CJ7" s="618" t="s">
        <v>161</v>
      </c>
      <c r="CK7" s="618" t="s">
        <v>162</v>
      </c>
      <c r="CL7" s="618" t="s">
        <v>163</v>
      </c>
      <c r="CM7" s="618" t="s">
        <v>372</v>
      </c>
      <c r="CN7" s="618" t="s">
        <v>373</v>
      </c>
      <c r="CO7" s="618" t="s">
        <v>374</v>
      </c>
      <c r="CP7" s="618" t="s">
        <v>375</v>
      </c>
      <c r="CQ7" s="618" t="s">
        <v>376</v>
      </c>
      <c r="CR7" s="618" t="s">
        <v>377</v>
      </c>
      <c r="CS7" s="618" t="s">
        <v>378</v>
      </c>
      <c r="CT7" s="618" t="s">
        <v>379</v>
      </c>
      <c r="CU7" s="618" t="s">
        <v>380</v>
      </c>
      <c r="CV7" s="618" t="s">
        <v>381</v>
      </c>
      <c r="CW7" s="618" t="s">
        <v>382</v>
      </c>
      <c r="CX7" s="618" t="s">
        <v>383</v>
      </c>
      <c r="CY7" s="618" t="s">
        <v>384</v>
      </c>
      <c r="CZ7" s="618" t="s">
        <v>385</v>
      </c>
      <c r="DA7" s="618" t="s">
        <v>386</v>
      </c>
      <c r="DB7" s="618" t="s">
        <v>387</v>
      </c>
    </row>
    <row r="8" spans="1:106">
      <c r="A8" s="618" t="s">
        <v>164</v>
      </c>
      <c r="B8" s="618" t="s">
        <v>165</v>
      </c>
      <c r="C8" s="620">
        <v>2.00628152344725</v>
      </c>
      <c r="D8" s="620">
        <v>2.0289884930558402</v>
      </c>
      <c r="E8" s="620">
        <v>2.0375016562590802</v>
      </c>
      <c r="F8" s="620">
        <v>2.0607449869168599</v>
      </c>
      <c r="G8" s="620">
        <v>2.0744332275644801</v>
      </c>
      <c r="H8" s="620">
        <v>2.08454547450836</v>
      </c>
      <c r="I8" s="620">
        <v>2.1206746557150402</v>
      </c>
      <c r="J8" s="620">
        <v>2.14275729334011</v>
      </c>
      <c r="K8" s="620">
        <v>2.1573758168938499</v>
      </c>
      <c r="L8" s="620">
        <v>2.1832269913207099</v>
      </c>
      <c r="M8" s="620">
        <v>2.2041365810243998</v>
      </c>
      <c r="N8" s="620">
        <v>2.1899931166757001</v>
      </c>
      <c r="O8" s="620">
        <v>2.2072571273119199</v>
      </c>
      <c r="P8" s="620">
        <v>2.2278061460830898</v>
      </c>
      <c r="Q8" s="620">
        <v>2.2459872624776498</v>
      </c>
      <c r="R8" s="620">
        <v>2.2737796851626002</v>
      </c>
      <c r="S8" s="620">
        <v>2.2969718599533899</v>
      </c>
      <c r="T8" s="620">
        <v>2.3348646382960099</v>
      </c>
      <c r="U8" s="620">
        <v>2.3735648754926002</v>
      </c>
      <c r="V8" s="620">
        <v>2.3220801273912</v>
      </c>
      <c r="W8" s="620">
        <v>2.3034285045676701</v>
      </c>
      <c r="X8" s="620">
        <v>2.3147021401619101</v>
      </c>
      <c r="Y8" s="620">
        <v>2.3337614610957198</v>
      </c>
      <c r="Z8" s="620">
        <v>2.3528576086547801</v>
      </c>
      <c r="AA8" s="620">
        <v>2.35647771513222</v>
      </c>
      <c r="AB8" s="620">
        <v>2.3596025653367101</v>
      </c>
      <c r="AC8" s="620">
        <v>2.3673890181389599</v>
      </c>
      <c r="AD8" s="620">
        <v>2.3902843413905099</v>
      </c>
      <c r="AE8" s="620">
        <v>2.4075011397303001</v>
      </c>
      <c r="AF8" s="620">
        <v>2.4441794059222399</v>
      </c>
      <c r="AG8" s="620">
        <v>2.4606450441339098</v>
      </c>
      <c r="AH8" s="620">
        <v>2.4683177087339598</v>
      </c>
      <c r="AI8" s="620">
        <v>2.4799514472049</v>
      </c>
      <c r="AJ8" s="620">
        <v>2.4866052278032602</v>
      </c>
      <c r="AK8" s="620">
        <v>2.49805925339983</v>
      </c>
      <c r="AL8" s="620">
        <v>2.5181882805357798</v>
      </c>
      <c r="AM8" s="620">
        <v>2.5229787830159101</v>
      </c>
      <c r="AN8" s="620">
        <v>2.52346335903882</v>
      </c>
      <c r="AO8" s="620">
        <v>2.5387532942889002</v>
      </c>
      <c r="AP8" s="620">
        <v>2.5497773093796798</v>
      </c>
      <c r="AQ8" s="620">
        <v>2.5636066148424002</v>
      </c>
      <c r="AR8" s="620">
        <v>2.56792955597742</v>
      </c>
      <c r="AS8" s="620">
        <v>2.57495679166504</v>
      </c>
      <c r="AT8" s="620">
        <v>2.5708478641900898</v>
      </c>
      <c r="AU8" s="620">
        <v>2.5617405316734598</v>
      </c>
      <c r="AV8" s="620">
        <v>2.5735873439772798</v>
      </c>
      <c r="AW8" s="620">
        <v>2.5767155739846399</v>
      </c>
      <c r="AX8" s="620">
        <v>2.57726677772387</v>
      </c>
      <c r="AY8" s="620">
        <v>2.5714104290309301</v>
      </c>
      <c r="AZ8" s="620">
        <v>2.5919136046640499</v>
      </c>
      <c r="BA8" s="620">
        <v>2.6072565906426499</v>
      </c>
      <c r="BB8" s="620">
        <v>2.6258801771662501</v>
      </c>
      <c r="BC8" s="620">
        <v>2.6432306689598501</v>
      </c>
      <c r="BD8" s="620">
        <v>2.6454476861951899</v>
      </c>
      <c r="BE8" s="620">
        <v>2.6517812730067698</v>
      </c>
      <c r="BF8" s="620">
        <v>2.6733971140650601</v>
      </c>
      <c r="BG8" s="620">
        <v>2.7001626673320298</v>
      </c>
      <c r="BH8" s="620">
        <v>2.7186749307887399</v>
      </c>
      <c r="BI8" s="620">
        <v>2.7312502770766902</v>
      </c>
      <c r="BJ8" s="620">
        <v>2.7449673362036799</v>
      </c>
      <c r="BK8" s="620">
        <v>2.74964123298852</v>
      </c>
      <c r="BL8" s="620">
        <v>2.76892419756365</v>
      </c>
      <c r="BM8" s="620">
        <v>2.7854306387802099</v>
      </c>
      <c r="BN8" s="620">
        <v>2.7987928855446702</v>
      </c>
      <c r="BO8" s="620">
        <v>2.80587239388006</v>
      </c>
      <c r="BP8" s="620">
        <v>2.7900748919912099</v>
      </c>
      <c r="BQ8" s="620">
        <v>2.8027670186365801</v>
      </c>
      <c r="BR8" s="620">
        <v>2.81899770482157</v>
      </c>
      <c r="BS8" s="620">
        <v>2.8437972933142301</v>
      </c>
      <c r="BT8" s="620">
        <v>2.8770723994158698</v>
      </c>
      <c r="BU8" s="620">
        <v>2.9193140754345901</v>
      </c>
      <c r="BV8" s="620">
        <v>2.9829435493595602</v>
      </c>
      <c r="BW8" s="620">
        <v>3.03684630224281</v>
      </c>
      <c r="BX8" s="620">
        <v>3.0939993473318301</v>
      </c>
      <c r="BY8" s="620">
        <v>3.1315060095292502</v>
      </c>
      <c r="BZ8" s="620">
        <v>3.1709241734295301</v>
      </c>
      <c r="CA8" s="620">
        <v>3.1806721825302202</v>
      </c>
      <c r="CB8" s="620">
        <v>3.1784604162518999</v>
      </c>
      <c r="CC8" s="620">
        <v>3.2022153247244498</v>
      </c>
      <c r="CD8" s="620">
        <v>3.2228466011932602</v>
      </c>
      <c r="CE8" s="620">
        <v>3.23550782587207</v>
      </c>
      <c r="CF8" s="620">
        <v>3.2578443343391998</v>
      </c>
      <c r="CG8" s="620">
        <v>3.2785336061586099</v>
      </c>
      <c r="CH8" s="620">
        <v>3.2945750495459198</v>
      </c>
      <c r="CI8" s="620">
        <v>3.3197866008054402</v>
      </c>
      <c r="CJ8" s="620">
        <v>3.3417226906935502</v>
      </c>
      <c r="CK8" s="620">
        <v>3.36166301106931</v>
      </c>
      <c r="CL8" s="620">
        <v>3.3822166895578301</v>
      </c>
      <c r="CM8" s="620">
        <v>3.4010128419302901</v>
      </c>
      <c r="CN8" s="620">
        <v>3.4201372554861198</v>
      </c>
      <c r="CO8" s="620">
        <v>3.4400186137155999</v>
      </c>
      <c r="CP8" s="620">
        <v>3.4615101467212601</v>
      </c>
      <c r="CQ8" s="620">
        <v>3.4818284987769199</v>
      </c>
      <c r="CR8" s="620">
        <v>3.5028392058351798</v>
      </c>
      <c r="CS8" s="620">
        <v>3.5249202930579</v>
      </c>
      <c r="CT8" s="620">
        <v>3.5460071373514799</v>
      </c>
      <c r="CU8" s="620">
        <v>3.5669972330235602</v>
      </c>
      <c r="CV8" s="620">
        <v>3.58692701237405</v>
      </c>
      <c r="CW8" s="620">
        <v>3.6082038272031101</v>
      </c>
      <c r="CX8" s="620">
        <v>3.6277494069088498</v>
      </c>
      <c r="CY8" s="620">
        <v>3.6500031303623102</v>
      </c>
      <c r="CZ8" s="620">
        <v>3.6695569189604802</v>
      </c>
      <c r="DA8" s="620">
        <v>3.6905864228250498</v>
      </c>
      <c r="DB8" s="620">
        <v>3.71149820318655</v>
      </c>
    </row>
    <row r="9" spans="1:106">
      <c r="A9" s="618" t="s">
        <v>166</v>
      </c>
      <c r="B9" s="618" t="s">
        <v>167</v>
      </c>
      <c r="C9" s="620">
        <v>2.00628152344725</v>
      </c>
      <c r="D9" s="620">
        <v>2.0289884930558402</v>
      </c>
      <c r="E9" s="620">
        <v>2.0375016562590802</v>
      </c>
      <c r="F9" s="620">
        <v>2.0607449869168599</v>
      </c>
      <c r="G9" s="620">
        <v>2.0744332275644801</v>
      </c>
      <c r="H9" s="620">
        <v>2.08454547450836</v>
      </c>
      <c r="I9" s="620">
        <v>2.1206746557150402</v>
      </c>
      <c r="J9" s="620">
        <v>2.14275729334011</v>
      </c>
      <c r="K9" s="620">
        <v>2.1573758168938499</v>
      </c>
      <c r="L9" s="620">
        <v>2.1832269913207099</v>
      </c>
      <c r="M9" s="620">
        <v>2.2041365810243998</v>
      </c>
      <c r="N9" s="620">
        <v>2.1899931166757001</v>
      </c>
      <c r="O9" s="620">
        <v>2.2072571273119199</v>
      </c>
      <c r="P9" s="620">
        <v>2.2278061460830898</v>
      </c>
      <c r="Q9" s="620">
        <v>2.2459872624776498</v>
      </c>
      <c r="R9" s="620">
        <v>2.2737796851626002</v>
      </c>
      <c r="S9" s="620">
        <v>2.2969718599533899</v>
      </c>
      <c r="T9" s="620">
        <v>2.3348646382960099</v>
      </c>
      <c r="U9" s="620">
        <v>2.3735648754926002</v>
      </c>
      <c r="V9" s="620">
        <v>2.3220801273912</v>
      </c>
      <c r="W9" s="620">
        <v>2.3034285045676701</v>
      </c>
      <c r="X9" s="620">
        <v>2.3147021401619101</v>
      </c>
      <c r="Y9" s="620">
        <v>2.3337614610957198</v>
      </c>
      <c r="Z9" s="620">
        <v>2.3528576086547801</v>
      </c>
      <c r="AA9" s="620">
        <v>2.35647771513222</v>
      </c>
      <c r="AB9" s="620">
        <v>2.3596025653367101</v>
      </c>
      <c r="AC9" s="620">
        <v>2.3673890181389599</v>
      </c>
      <c r="AD9" s="620">
        <v>2.3902843413905099</v>
      </c>
      <c r="AE9" s="620">
        <v>2.4075011397303001</v>
      </c>
      <c r="AF9" s="620">
        <v>2.4441794059222399</v>
      </c>
      <c r="AG9" s="620">
        <v>2.4606450441339098</v>
      </c>
      <c r="AH9" s="620">
        <v>2.4683177087339598</v>
      </c>
      <c r="AI9" s="620">
        <v>2.4799514472049</v>
      </c>
      <c r="AJ9" s="620">
        <v>2.4866052278032602</v>
      </c>
      <c r="AK9" s="620">
        <v>2.49805925339983</v>
      </c>
      <c r="AL9" s="620">
        <v>2.5181882805357798</v>
      </c>
      <c r="AM9" s="620">
        <v>2.5229787830159101</v>
      </c>
      <c r="AN9" s="620">
        <v>2.52346335903882</v>
      </c>
      <c r="AO9" s="620">
        <v>2.5387532942889002</v>
      </c>
      <c r="AP9" s="620">
        <v>2.5497773093796798</v>
      </c>
      <c r="AQ9" s="620">
        <v>2.5636066148424002</v>
      </c>
      <c r="AR9" s="620">
        <v>2.56792955597742</v>
      </c>
      <c r="AS9" s="620">
        <v>2.57495679166504</v>
      </c>
      <c r="AT9" s="620">
        <v>2.5708478641900898</v>
      </c>
      <c r="AU9" s="620">
        <v>2.5617405316734598</v>
      </c>
      <c r="AV9" s="620">
        <v>2.5735873439772798</v>
      </c>
      <c r="AW9" s="620">
        <v>2.5767155739846399</v>
      </c>
      <c r="AX9" s="620">
        <v>2.57726677772387</v>
      </c>
      <c r="AY9" s="620">
        <v>2.5714104290309301</v>
      </c>
      <c r="AZ9" s="620">
        <v>2.5919136046640499</v>
      </c>
      <c r="BA9" s="620">
        <v>2.6072565906426499</v>
      </c>
      <c r="BB9" s="620">
        <v>2.6258801771662501</v>
      </c>
      <c r="BC9" s="620">
        <v>2.6432306689598501</v>
      </c>
      <c r="BD9" s="620">
        <v>2.6454476861951899</v>
      </c>
      <c r="BE9" s="620">
        <v>2.6517812730067698</v>
      </c>
      <c r="BF9" s="620">
        <v>2.6733971140650601</v>
      </c>
      <c r="BG9" s="620">
        <v>2.7001626673320298</v>
      </c>
      <c r="BH9" s="620">
        <v>2.7186749307887399</v>
      </c>
      <c r="BI9" s="620">
        <v>2.7312502770766902</v>
      </c>
      <c r="BJ9" s="620">
        <v>2.7449673362036799</v>
      </c>
      <c r="BK9" s="620">
        <v>2.74964123298852</v>
      </c>
      <c r="BL9" s="620">
        <v>2.76892419756365</v>
      </c>
      <c r="BM9" s="620">
        <v>2.7854306387802099</v>
      </c>
      <c r="BN9" s="620">
        <v>2.7987928855446702</v>
      </c>
      <c r="BO9" s="620">
        <v>2.80587239388006</v>
      </c>
      <c r="BP9" s="620">
        <v>2.7900748919912099</v>
      </c>
      <c r="BQ9" s="620">
        <v>2.8027670186365801</v>
      </c>
      <c r="BR9" s="620">
        <v>2.81899770482157</v>
      </c>
      <c r="BS9" s="620">
        <v>2.8437972933142301</v>
      </c>
      <c r="BT9" s="620">
        <v>2.8770723994158698</v>
      </c>
      <c r="BU9" s="620">
        <v>2.9193140754345901</v>
      </c>
      <c r="BV9" s="620">
        <v>2.9829435493595602</v>
      </c>
      <c r="BW9" s="620">
        <v>3.03684630224281</v>
      </c>
      <c r="BX9" s="620">
        <v>3.0939993473318301</v>
      </c>
      <c r="BY9" s="620">
        <v>3.1315060095292502</v>
      </c>
      <c r="BZ9" s="620">
        <v>3.1709241734295301</v>
      </c>
      <c r="CA9" s="620">
        <v>3.1806721825302202</v>
      </c>
      <c r="CB9" s="620">
        <v>3.1784604162518999</v>
      </c>
      <c r="CC9" s="620">
        <v>3.1880215703579999</v>
      </c>
      <c r="CD9" s="620">
        <v>3.2065682971238298</v>
      </c>
      <c r="CE9" s="620">
        <v>3.2177399457864699</v>
      </c>
      <c r="CF9" s="620">
        <v>3.2378185634282302</v>
      </c>
      <c r="CG9" s="620">
        <v>3.25656770063839</v>
      </c>
      <c r="CH9" s="620">
        <v>3.27110127859771</v>
      </c>
      <c r="CI9" s="620">
        <v>3.2944309740921498</v>
      </c>
      <c r="CJ9" s="620">
        <v>3.3143993617605201</v>
      </c>
      <c r="CK9" s="620">
        <v>3.3322344903885601</v>
      </c>
      <c r="CL9" s="620">
        <v>3.35046325499723</v>
      </c>
      <c r="CM9" s="620">
        <v>3.3669734300441201</v>
      </c>
      <c r="CN9" s="620">
        <v>3.3835781064221901</v>
      </c>
      <c r="CO9" s="620">
        <v>3.40126999342383</v>
      </c>
      <c r="CP9" s="620">
        <v>3.4206485932531399</v>
      </c>
      <c r="CQ9" s="620">
        <v>3.4390532499344801</v>
      </c>
      <c r="CR9" s="620">
        <v>3.4580366768499</v>
      </c>
      <c r="CS9" s="620">
        <v>3.47802438177116</v>
      </c>
      <c r="CT9" s="620">
        <v>3.4970669586175398</v>
      </c>
      <c r="CU9" s="620">
        <v>3.5161376145324899</v>
      </c>
      <c r="CV9" s="620">
        <v>3.53415200640889</v>
      </c>
      <c r="CW9" s="620">
        <v>3.5535194739162299</v>
      </c>
      <c r="CX9" s="620">
        <v>3.5709835716878802</v>
      </c>
      <c r="CY9" s="620">
        <v>3.5912976737319</v>
      </c>
      <c r="CZ9" s="620">
        <v>3.6087192639826902</v>
      </c>
      <c r="DA9" s="620">
        <v>3.6274135114711501</v>
      </c>
      <c r="DB9" s="620">
        <v>3.6458171909181298</v>
      </c>
    </row>
    <row r="10" spans="1:106">
      <c r="A10" s="618" t="s">
        <v>168</v>
      </c>
      <c r="B10" s="618" t="s">
        <v>169</v>
      </c>
      <c r="C10" s="620">
        <v>2.00628152344725</v>
      </c>
      <c r="D10" s="620">
        <v>2.0289884930558402</v>
      </c>
      <c r="E10" s="620">
        <v>2.0375016562590802</v>
      </c>
      <c r="F10" s="620">
        <v>2.0607449869168599</v>
      </c>
      <c r="G10" s="620">
        <v>2.0744332275644801</v>
      </c>
      <c r="H10" s="620">
        <v>2.08454547450836</v>
      </c>
      <c r="I10" s="620">
        <v>2.1206746557150402</v>
      </c>
      <c r="J10" s="620">
        <v>2.14275729334011</v>
      </c>
      <c r="K10" s="620">
        <v>2.1573758168938499</v>
      </c>
      <c r="L10" s="620">
        <v>2.1832269913207099</v>
      </c>
      <c r="M10" s="620">
        <v>2.2041365810243998</v>
      </c>
      <c r="N10" s="620">
        <v>2.1899931166757001</v>
      </c>
      <c r="O10" s="620">
        <v>2.2072571273119199</v>
      </c>
      <c r="P10" s="620">
        <v>2.2278061460830898</v>
      </c>
      <c r="Q10" s="620">
        <v>2.2459872624776498</v>
      </c>
      <c r="R10" s="620">
        <v>2.2737796851626002</v>
      </c>
      <c r="S10" s="620">
        <v>2.2969718599533899</v>
      </c>
      <c r="T10" s="620">
        <v>2.3348646382960099</v>
      </c>
      <c r="U10" s="620">
        <v>2.3735648754926002</v>
      </c>
      <c r="V10" s="620">
        <v>2.3220801273912</v>
      </c>
      <c r="W10" s="620">
        <v>2.3034285045676701</v>
      </c>
      <c r="X10" s="620">
        <v>2.3147021401619101</v>
      </c>
      <c r="Y10" s="620">
        <v>2.3337614610957198</v>
      </c>
      <c r="Z10" s="620">
        <v>2.3528576086547801</v>
      </c>
      <c r="AA10" s="620">
        <v>2.35647771513222</v>
      </c>
      <c r="AB10" s="620">
        <v>2.3596025653367101</v>
      </c>
      <c r="AC10" s="620">
        <v>2.3673890181389599</v>
      </c>
      <c r="AD10" s="620">
        <v>2.3902843413905099</v>
      </c>
      <c r="AE10" s="620">
        <v>2.4075011397303001</v>
      </c>
      <c r="AF10" s="620">
        <v>2.4441794059222399</v>
      </c>
      <c r="AG10" s="620">
        <v>2.4606450441339098</v>
      </c>
      <c r="AH10" s="620">
        <v>2.4683177087339598</v>
      </c>
      <c r="AI10" s="620">
        <v>2.4799514472049</v>
      </c>
      <c r="AJ10" s="620">
        <v>2.4866052278032602</v>
      </c>
      <c r="AK10" s="620">
        <v>2.49805925339983</v>
      </c>
      <c r="AL10" s="620">
        <v>2.5181882805357798</v>
      </c>
      <c r="AM10" s="620">
        <v>2.5229787830159101</v>
      </c>
      <c r="AN10" s="620">
        <v>2.52346335903882</v>
      </c>
      <c r="AO10" s="620">
        <v>2.5387532942889002</v>
      </c>
      <c r="AP10" s="620">
        <v>2.5497773093796798</v>
      </c>
      <c r="AQ10" s="620">
        <v>2.5636066148424002</v>
      </c>
      <c r="AR10" s="620">
        <v>2.56792955597742</v>
      </c>
      <c r="AS10" s="620">
        <v>2.57495679166504</v>
      </c>
      <c r="AT10" s="620">
        <v>2.5708478641900898</v>
      </c>
      <c r="AU10" s="620">
        <v>2.5617405316734598</v>
      </c>
      <c r="AV10" s="620">
        <v>2.5735873439772798</v>
      </c>
      <c r="AW10" s="620">
        <v>2.5767155739846399</v>
      </c>
      <c r="AX10" s="620">
        <v>2.57726677772387</v>
      </c>
      <c r="AY10" s="620">
        <v>2.5714104290309301</v>
      </c>
      <c r="AZ10" s="620">
        <v>2.5919136046640499</v>
      </c>
      <c r="BA10" s="620">
        <v>2.6072565906426499</v>
      </c>
      <c r="BB10" s="620">
        <v>2.6258801771662501</v>
      </c>
      <c r="BC10" s="620">
        <v>2.6432306689598501</v>
      </c>
      <c r="BD10" s="620">
        <v>2.6454476861951899</v>
      </c>
      <c r="BE10" s="620">
        <v>2.6517812730067698</v>
      </c>
      <c r="BF10" s="620">
        <v>2.6733971140650601</v>
      </c>
      <c r="BG10" s="620">
        <v>2.7001626673320298</v>
      </c>
      <c r="BH10" s="620">
        <v>2.7186749307887399</v>
      </c>
      <c r="BI10" s="620">
        <v>2.7312502770766902</v>
      </c>
      <c r="BJ10" s="620">
        <v>2.7449673362036799</v>
      </c>
      <c r="BK10" s="620">
        <v>2.74964123298852</v>
      </c>
      <c r="BL10" s="620">
        <v>2.76892419756365</v>
      </c>
      <c r="BM10" s="620">
        <v>2.7854306387802099</v>
      </c>
      <c r="BN10" s="620">
        <v>2.7987928855446702</v>
      </c>
      <c r="BO10" s="620">
        <v>2.80587239388006</v>
      </c>
      <c r="BP10" s="620">
        <v>2.7900748919912099</v>
      </c>
      <c r="BQ10" s="620">
        <v>2.8027670186365801</v>
      </c>
      <c r="BR10" s="620">
        <v>2.81899770482157</v>
      </c>
      <c r="BS10" s="620">
        <v>2.8437972933142301</v>
      </c>
      <c r="BT10" s="620">
        <v>2.8770723994158698</v>
      </c>
      <c r="BU10" s="620">
        <v>2.9193140754345901</v>
      </c>
      <c r="BV10" s="620">
        <v>2.9829435493595602</v>
      </c>
      <c r="BW10" s="620">
        <v>3.03684630224281</v>
      </c>
      <c r="BX10" s="620">
        <v>3.0939993473318301</v>
      </c>
      <c r="BY10" s="620">
        <v>3.1315060095292502</v>
      </c>
      <c r="BZ10" s="620">
        <v>3.1709241734295301</v>
      </c>
      <c r="CA10" s="620">
        <v>3.1806721825302202</v>
      </c>
      <c r="CB10" s="620">
        <v>3.1784604162518999</v>
      </c>
      <c r="CC10" s="620">
        <v>3.2203626719006402</v>
      </c>
      <c r="CD10" s="620">
        <v>3.2558503521972</v>
      </c>
      <c r="CE10" s="620">
        <v>3.28250565375741</v>
      </c>
      <c r="CF10" s="620">
        <v>3.3173856724403099</v>
      </c>
      <c r="CG10" s="620">
        <v>3.34954361638431</v>
      </c>
      <c r="CH10" s="620">
        <v>3.37623500854547</v>
      </c>
      <c r="CI10" s="620">
        <v>3.4123154818409001</v>
      </c>
      <c r="CJ10" s="620">
        <v>3.4447190783209898</v>
      </c>
      <c r="CK10" s="620">
        <v>3.4751671862337199</v>
      </c>
      <c r="CL10" s="620">
        <v>3.5066179028462598</v>
      </c>
      <c r="CM10" s="620">
        <v>3.5367557450945402</v>
      </c>
      <c r="CN10" s="620">
        <v>3.5676309358667502</v>
      </c>
      <c r="CO10" s="620">
        <v>3.5991177638845602</v>
      </c>
      <c r="CP10" s="620">
        <v>3.6322035396379202</v>
      </c>
      <c r="CQ10" s="620">
        <v>3.66429204645853</v>
      </c>
      <c r="CR10" s="620">
        <v>3.69719679352876</v>
      </c>
      <c r="CS10" s="620">
        <v>3.7313531956252302</v>
      </c>
      <c r="CT10" s="620">
        <v>3.76484448121604</v>
      </c>
      <c r="CU10" s="620">
        <v>3.7986224084603002</v>
      </c>
      <c r="CV10" s="620">
        <v>3.83143978351782</v>
      </c>
      <c r="CW10" s="620">
        <v>3.86585949366602</v>
      </c>
      <c r="CX10" s="620">
        <v>3.89872365759244</v>
      </c>
      <c r="CY10" s="620">
        <v>3.9345009110540201</v>
      </c>
      <c r="CZ10" s="620">
        <v>3.9674025604052798</v>
      </c>
      <c r="DA10" s="620">
        <v>4.0019855391003603</v>
      </c>
      <c r="DB10" s="620">
        <v>4.0366274403892302</v>
      </c>
    </row>
    <row r="12" spans="1:106">
      <c r="C12" s="621"/>
      <c r="D12" s="621"/>
      <c r="E12" s="621"/>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row>
    <row r="13" spans="1:106">
      <c r="C13" s="621"/>
      <c r="D13" s="621"/>
      <c r="E13" s="621"/>
      <c r="F13" s="621"/>
      <c r="G13" s="621"/>
      <c r="H13" s="621"/>
      <c r="I13" s="621"/>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row>
    <row r="14" spans="1:106">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row>
    <row r="15" spans="1:106">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c r="AH15" s="620"/>
      <c r="AI15" s="620"/>
      <c r="AJ15" s="620"/>
      <c r="AK15" s="620"/>
      <c r="AL15" s="620"/>
      <c r="AM15" s="620"/>
      <c r="AN15" s="620"/>
      <c r="AO15" s="620"/>
      <c r="AP15" s="620"/>
      <c r="AQ15" s="620"/>
      <c r="AR15" s="620"/>
      <c r="AS15" s="620"/>
      <c r="AT15" s="620"/>
    </row>
    <row r="16" spans="1:106">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0"/>
      <c r="AK16" s="620"/>
      <c r="AL16" s="620"/>
      <c r="AM16" s="620"/>
      <c r="AN16" s="620"/>
      <c r="AO16" s="620"/>
      <c r="AP16" s="620"/>
      <c r="AQ16" s="620"/>
      <c r="AR16" s="620"/>
      <c r="AS16" s="620"/>
      <c r="AT16" s="620"/>
    </row>
    <row r="17" spans="3:96">
      <c r="C17" s="622"/>
      <c r="D17" s="622"/>
      <c r="E17" s="622"/>
      <c r="F17" s="622"/>
      <c r="G17" s="622"/>
      <c r="H17" s="622"/>
      <c r="I17" s="622"/>
      <c r="J17" s="622"/>
      <c r="K17" s="622"/>
      <c r="L17" s="622"/>
      <c r="M17" s="622"/>
      <c r="N17" s="622"/>
      <c r="O17" s="622"/>
      <c r="P17" s="622"/>
      <c r="Q17" s="622"/>
      <c r="R17" s="622"/>
      <c r="S17" s="622"/>
      <c r="T17" s="622"/>
      <c r="U17" s="622"/>
      <c r="V17" s="622"/>
      <c r="W17" s="622"/>
      <c r="X17" s="622"/>
      <c r="Y17" s="622"/>
      <c r="Z17" s="622"/>
      <c r="AA17" s="622"/>
      <c r="AB17" s="622"/>
      <c r="AC17" s="622"/>
      <c r="AD17" s="622"/>
      <c r="AE17" s="622"/>
      <c r="AF17" s="622"/>
      <c r="AG17" s="622"/>
      <c r="AH17" s="622"/>
      <c r="AI17" s="622"/>
      <c r="AJ17" s="622"/>
      <c r="AK17" s="622"/>
      <c r="AL17" s="622"/>
      <c r="AM17" s="622"/>
      <c r="AN17" s="622"/>
      <c r="AO17" s="622"/>
      <c r="AP17" s="622"/>
    </row>
    <row r="18" spans="3:96">
      <c r="CG18" s="623" t="s">
        <v>170</v>
      </c>
      <c r="CH18" s="624"/>
      <c r="CI18" s="624"/>
      <c r="CJ18" s="625" t="s">
        <v>388</v>
      </c>
      <c r="CK18" s="626"/>
      <c r="CL18" s="626"/>
      <c r="CM18" s="626"/>
      <c r="CN18" s="626"/>
      <c r="CO18" s="626"/>
      <c r="CP18" s="624"/>
      <c r="CQ18" s="624"/>
      <c r="CR18" s="624"/>
    </row>
    <row r="19" spans="3:96">
      <c r="CG19" s="627"/>
      <c r="CH19" s="628"/>
      <c r="CI19" s="628"/>
      <c r="CJ19" s="628"/>
      <c r="CK19" s="628"/>
      <c r="CL19" s="628"/>
      <c r="CM19" s="628"/>
      <c r="CN19" s="628"/>
      <c r="CO19" s="628"/>
      <c r="CP19" s="628"/>
      <c r="CQ19" s="628"/>
      <c r="CR19" s="629"/>
    </row>
    <row r="20" spans="3:96">
      <c r="CG20" s="630"/>
      <c r="CH20" s="631" t="s">
        <v>172</v>
      </c>
      <c r="CI20" s="632" t="s">
        <v>389</v>
      </c>
      <c r="CJ20" s="624"/>
      <c r="CK20" s="624"/>
      <c r="CL20" s="624"/>
      <c r="CM20" s="624"/>
      <c r="CN20" s="624"/>
      <c r="CO20" s="624"/>
      <c r="CP20" s="624"/>
      <c r="CQ20" s="624"/>
      <c r="CR20" s="633"/>
    </row>
    <row r="21" spans="3:96">
      <c r="CG21" s="630"/>
      <c r="CH21" s="624"/>
      <c r="CI21" s="634" t="s">
        <v>157</v>
      </c>
      <c r="CJ21" s="624"/>
      <c r="CK21" s="624"/>
      <c r="CL21" s="624"/>
      <c r="CM21" s="624"/>
      <c r="CN21" s="624"/>
      <c r="CO21" s="624"/>
      <c r="CP21" s="624"/>
      <c r="CQ21" s="624"/>
      <c r="CR21" s="635" t="s">
        <v>174</v>
      </c>
    </row>
    <row r="22" spans="3:96">
      <c r="CG22" s="630"/>
      <c r="CH22" s="624"/>
      <c r="CI22" s="636">
        <f>CF9</f>
        <v>3.2378185634282302</v>
      </c>
      <c r="CJ22" s="624"/>
      <c r="CK22" s="624"/>
      <c r="CL22" s="624"/>
      <c r="CM22" s="624"/>
      <c r="CN22" s="624"/>
      <c r="CO22" s="624"/>
      <c r="CP22" s="624"/>
      <c r="CQ22" s="624"/>
      <c r="CR22" s="637">
        <f>CI22</f>
        <v>3.2378185634282302</v>
      </c>
    </row>
    <row r="23" spans="3:96">
      <c r="CG23" s="630"/>
      <c r="CH23" s="624"/>
      <c r="CI23" s="624"/>
      <c r="CJ23" s="624"/>
      <c r="CK23" s="624"/>
      <c r="CL23" s="624"/>
      <c r="CM23" s="624"/>
      <c r="CN23" s="624"/>
      <c r="CO23" s="624"/>
      <c r="CP23" s="624"/>
      <c r="CQ23" s="624"/>
      <c r="CR23" s="638"/>
    </row>
    <row r="24" spans="3:96">
      <c r="CG24" s="731" t="s">
        <v>175</v>
      </c>
      <c r="CH24" s="732"/>
      <c r="CI24" s="732"/>
      <c r="CJ24" s="624" t="s">
        <v>390</v>
      </c>
      <c r="CK24" s="624"/>
      <c r="CL24" s="624"/>
      <c r="CM24" s="624"/>
      <c r="CN24" s="624"/>
      <c r="CO24" s="624"/>
      <c r="CP24" s="624"/>
      <c r="CQ24" s="624"/>
      <c r="CR24" s="638"/>
    </row>
    <row r="25" spans="3:96">
      <c r="CG25" s="639"/>
      <c r="CH25" s="631"/>
      <c r="CI25" s="640" t="str">
        <f>CG7</f>
        <v>2024Q3</v>
      </c>
      <c r="CJ25" s="640" t="str">
        <f t="shared" ref="CJ25:CP25" si="0">CH7</f>
        <v>2024Q4</v>
      </c>
      <c r="CK25" s="640" t="str">
        <f t="shared" si="0"/>
        <v>2025Q1</v>
      </c>
      <c r="CL25" s="640" t="str">
        <f t="shared" si="0"/>
        <v>2025Q2</v>
      </c>
      <c r="CM25" s="640" t="str">
        <f t="shared" si="0"/>
        <v>2025Q3</v>
      </c>
      <c r="CN25" s="640" t="str">
        <f t="shared" si="0"/>
        <v>2025Q4</v>
      </c>
      <c r="CO25" s="640" t="str">
        <f t="shared" si="0"/>
        <v>2026Q1</v>
      </c>
      <c r="CP25" s="640" t="str">
        <f t="shared" si="0"/>
        <v>2026Q2</v>
      </c>
      <c r="CQ25" s="640"/>
      <c r="CR25" s="638"/>
    </row>
    <row r="26" spans="3:96">
      <c r="CG26" s="630"/>
      <c r="CH26" s="624"/>
      <c r="CI26" s="641">
        <f>CG9</f>
        <v>3.25656770063839</v>
      </c>
      <c r="CJ26" s="641">
        <f t="shared" ref="CJ26:CP26" si="1">CH9</f>
        <v>3.27110127859771</v>
      </c>
      <c r="CK26" s="641">
        <f t="shared" si="1"/>
        <v>3.2944309740921498</v>
      </c>
      <c r="CL26" s="641">
        <f t="shared" si="1"/>
        <v>3.3143993617605201</v>
      </c>
      <c r="CM26" s="641">
        <f t="shared" si="1"/>
        <v>3.3322344903885601</v>
      </c>
      <c r="CN26" s="641">
        <f t="shared" si="1"/>
        <v>3.35046325499723</v>
      </c>
      <c r="CO26" s="641">
        <f t="shared" si="1"/>
        <v>3.3669734300441201</v>
      </c>
      <c r="CP26" s="641">
        <f t="shared" si="1"/>
        <v>3.3835781064221901</v>
      </c>
      <c r="CQ26" s="624"/>
      <c r="CR26" s="637">
        <f>AVERAGE(CI26:CP26)</f>
        <v>3.3212185746176086</v>
      </c>
    </row>
    <row r="27" spans="3:96">
      <c r="CG27" s="630"/>
      <c r="CH27" s="624"/>
      <c r="CI27" s="624"/>
      <c r="CJ27" s="624"/>
      <c r="CK27" s="624"/>
      <c r="CL27" s="624"/>
      <c r="CM27" s="624"/>
      <c r="CN27" s="624"/>
      <c r="CO27" s="624"/>
      <c r="CP27" s="624"/>
      <c r="CQ27" s="624"/>
      <c r="CR27" s="638"/>
    </row>
    <row r="28" spans="3:96">
      <c r="CG28" s="630"/>
      <c r="CH28" s="624"/>
      <c r="CI28" s="624"/>
      <c r="CJ28" s="624"/>
      <c r="CK28" s="624"/>
      <c r="CL28" s="624"/>
      <c r="CM28" s="624"/>
      <c r="CN28" s="624"/>
      <c r="CO28" s="624"/>
      <c r="CP28" s="624"/>
      <c r="CQ28" s="642" t="s">
        <v>177</v>
      </c>
      <c r="CR28" s="345">
        <f>(CR26-CR22)/CR22</f>
        <v>2.5758086673353865E-2</v>
      </c>
    </row>
    <row r="29" spans="3:96">
      <c r="CG29" s="643"/>
      <c r="CH29" s="644"/>
      <c r="CI29" s="644"/>
      <c r="CJ29" s="644"/>
      <c r="CK29" s="644"/>
      <c r="CL29" s="644"/>
      <c r="CM29" s="644"/>
      <c r="CN29" s="644"/>
      <c r="CO29" s="644"/>
      <c r="CP29" s="644"/>
      <c r="CQ29" s="644"/>
      <c r="CR29" s="645"/>
    </row>
  </sheetData>
  <mergeCells count="2">
    <mergeCell ref="A1:B1"/>
    <mergeCell ref="CG24:CI24"/>
  </mergeCells>
  <pageMargins left="0.25" right="0.2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AEF55-8897-40AF-979C-2319A518D690}">
  <sheetPr>
    <pageSetUpPr fitToPage="1"/>
  </sheetPr>
  <dimension ref="B1:F57"/>
  <sheetViews>
    <sheetView showGridLines="0" zoomScale="60" zoomScaleNormal="60" workbookViewId="0">
      <selection activeCell="U38" sqref="U38"/>
    </sheetView>
  </sheetViews>
  <sheetFormatPr defaultRowHeight="26.25"/>
  <cols>
    <col min="1" max="1" width="5.28515625" style="579" customWidth="1"/>
    <col min="2" max="2" width="75.140625" style="579" customWidth="1"/>
    <col min="3" max="3" width="24.5703125" style="579" customWidth="1"/>
    <col min="4" max="4" width="68.28515625" style="579" customWidth="1"/>
    <col min="5" max="5" width="66" style="581" customWidth="1"/>
    <col min="6" max="6" width="44" style="581" customWidth="1"/>
    <col min="7" max="230" width="8.7109375" style="579"/>
    <col min="231" max="231" width="5.28515625" style="579" customWidth="1"/>
    <col min="232" max="232" width="55.42578125" style="579" customWidth="1"/>
    <col min="233" max="233" width="23" style="579" customWidth="1"/>
    <col min="234" max="235" width="0" style="579" hidden="1" customWidth="1"/>
    <col min="236" max="236" width="58.5703125" style="579" customWidth="1"/>
    <col min="237" max="237" width="59.28515625" style="579" customWidth="1"/>
    <col min="238" max="241" width="0" style="579" hidden="1" customWidth="1"/>
    <col min="242" max="486" width="8.7109375" style="579"/>
    <col min="487" max="487" width="5.28515625" style="579" customWidth="1"/>
    <col min="488" max="488" width="55.42578125" style="579" customWidth="1"/>
    <col min="489" max="489" width="23" style="579" customWidth="1"/>
    <col min="490" max="491" width="0" style="579" hidden="1" customWidth="1"/>
    <col min="492" max="492" width="58.5703125" style="579" customWidth="1"/>
    <col min="493" max="493" width="59.28515625" style="579" customWidth="1"/>
    <col min="494" max="497" width="0" style="579" hidden="1" customWidth="1"/>
    <col min="498" max="742" width="8.7109375" style="579"/>
    <col min="743" max="743" width="5.28515625" style="579" customWidth="1"/>
    <col min="744" max="744" width="55.42578125" style="579" customWidth="1"/>
    <col min="745" max="745" width="23" style="579" customWidth="1"/>
    <col min="746" max="747" width="0" style="579" hidden="1" customWidth="1"/>
    <col min="748" max="748" width="58.5703125" style="579" customWidth="1"/>
    <col min="749" max="749" width="59.28515625" style="579" customWidth="1"/>
    <col min="750" max="753" width="0" style="579" hidden="1" customWidth="1"/>
    <col min="754" max="998" width="8.7109375" style="579"/>
    <col min="999" max="999" width="5.28515625" style="579" customWidth="1"/>
    <col min="1000" max="1000" width="55.42578125" style="579" customWidth="1"/>
    <col min="1001" max="1001" width="23" style="579" customWidth="1"/>
    <col min="1002" max="1003" width="0" style="579" hidden="1" customWidth="1"/>
    <col min="1004" max="1004" width="58.5703125" style="579" customWidth="1"/>
    <col min="1005" max="1005" width="59.28515625" style="579" customWidth="1"/>
    <col min="1006" max="1009" width="0" style="579" hidden="1" customWidth="1"/>
    <col min="1010" max="1254" width="8.7109375" style="579"/>
    <col min="1255" max="1255" width="5.28515625" style="579" customWidth="1"/>
    <col min="1256" max="1256" width="55.42578125" style="579" customWidth="1"/>
    <col min="1257" max="1257" width="23" style="579" customWidth="1"/>
    <col min="1258" max="1259" width="0" style="579" hidden="1" customWidth="1"/>
    <col min="1260" max="1260" width="58.5703125" style="579" customWidth="1"/>
    <col min="1261" max="1261" width="59.28515625" style="579" customWidth="1"/>
    <col min="1262" max="1265" width="0" style="579" hidden="1" customWidth="1"/>
    <col min="1266" max="1510" width="8.7109375" style="579"/>
    <col min="1511" max="1511" width="5.28515625" style="579" customWidth="1"/>
    <col min="1512" max="1512" width="55.42578125" style="579" customWidth="1"/>
    <col min="1513" max="1513" width="23" style="579" customWidth="1"/>
    <col min="1514" max="1515" width="0" style="579" hidden="1" customWidth="1"/>
    <col min="1516" max="1516" width="58.5703125" style="579" customWidth="1"/>
    <col min="1517" max="1517" width="59.28515625" style="579" customWidth="1"/>
    <col min="1518" max="1521" width="0" style="579" hidden="1" customWidth="1"/>
    <col min="1522" max="1766" width="8.7109375" style="579"/>
    <col min="1767" max="1767" width="5.28515625" style="579" customWidth="1"/>
    <col min="1768" max="1768" width="55.42578125" style="579" customWidth="1"/>
    <col min="1769" max="1769" width="23" style="579" customWidth="1"/>
    <col min="1770" max="1771" width="0" style="579" hidden="1" customWidth="1"/>
    <col min="1772" max="1772" width="58.5703125" style="579" customWidth="1"/>
    <col min="1773" max="1773" width="59.28515625" style="579" customWidth="1"/>
    <col min="1774" max="1777" width="0" style="579" hidden="1" customWidth="1"/>
    <col min="1778" max="2022" width="8.7109375" style="579"/>
    <col min="2023" max="2023" width="5.28515625" style="579" customWidth="1"/>
    <col min="2024" max="2024" width="55.42578125" style="579" customWidth="1"/>
    <col min="2025" max="2025" width="23" style="579" customWidth="1"/>
    <col min="2026" max="2027" width="0" style="579" hidden="1" customWidth="1"/>
    <col min="2028" max="2028" width="58.5703125" style="579" customWidth="1"/>
    <col min="2029" max="2029" width="59.28515625" style="579" customWidth="1"/>
    <col min="2030" max="2033" width="0" style="579" hidden="1" customWidth="1"/>
    <col min="2034" max="2278" width="8.7109375" style="579"/>
    <col min="2279" max="2279" width="5.28515625" style="579" customWidth="1"/>
    <col min="2280" max="2280" width="55.42578125" style="579" customWidth="1"/>
    <col min="2281" max="2281" width="23" style="579" customWidth="1"/>
    <col min="2282" max="2283" width="0" style="579" hidden="1" customWidth="1"/>
    <col min="2284" max="2284" width="58.5703125" style="579" customWidth="1"/>
    <col min="2285" max="2285" width="59.28515625" style="579" customWidth="1"/>
    <col min="2286" max="2289" width="0" style="579" hidden="1" customWidth="1"/>
    <col min="2290" max="2534" width="8.7109375" style="579"/>
    <col min="2535" max="2535" width="5.28515625" style="579" customWidth="1"/>
    <col min="2536" max="2536" width="55.42578125" style="579" customWidth="1"/>
    <col min="2537" max="2537" width="23" style="579" customWidth="1"/>
    <col min="2538" max="2539" width="0" style="579" hidden="1" customWidth="1"/>
    <col min="2540" max="2540" width="58.5703125" style="579" customWidth="1"/>
    <col min="2541" max="2541" width="59.28515625" style="579" customWidth="1"/>
    <col min="2542" max="2545" width="0" style="579" hidden="1" customWidth="1"/>
    <col min="2546" max="2790" width="8.7109375" style="579"/>
    <col min="2791" max="2791" width="5.28515625" style="579" customWidth="1"/>
    <col min="2792" max="2792" width="55.42578125" style="579" customWidth="1"/>
    <col min="2793" max="2793" width="23" style="579" customWidth="1"/>
    <col min="2794" max="2795" width="0" style="579" hidden="1" customWidth="1"/>
    <col min="2796" max="2796" width="58.5703125" style="579" customWidth="1"/>
    <col min="2797" max="2797" width="59.28515625" style="579" customWidth="1"/>
    <col min="2798" max="2801" width="0" style="579" hidden="1" customWidth="1"/>
    <col min="2802" max="3046" width="8.7109375" style="579"/>
    <col min="3047" max="3047" width="5.28515625" style="579" customWidth="1"/>
    <col min="3048" max="3048" width="55.42578125" style="579" customWidth="1"/>
    <col min="3049" max="3049" width="23" style="579" customWidth="1"/>
    <col min="3050" max="3051" width="0" style="579" hidden="1" customWidth="1"/>
    <col min="3052" max="3052" width="58.5703125" style="579" customWidth="1"/>
    <col min="3053" max="3053" width="59.28515625" style="579" customWidth="1"/>
    <col min="3054" max="3057" width="0" style="579" hidden="1" customWidth="1"/>
    <col min="3058" max="3302" width="8.7109375" style="579"/>
    <col min="3303" max="3303" width="5.28515625" style="579" customWidth="1"/>
    <col min="3304" max="3304" width="55.42578125" style="579" customWidth="1"/>
    <col min="3305" max="3305" width="23" style="579" customWidth="1"/>
    <col min="3306" max="3307" width="0" style="579" hidden="1" customWidth="1"/>
    <col min="3308" max="3308" width="58.5703125" style="579" customWidth="1"/>
    <col min="3309" max="3309" width="59.28515625" style="579" customWidth="1"/>
    <col min="3310" max="3313" width="0" style="579" hidden="1" customWidth="1"/>
    <col min="3314" max="3558" width="8.7109375" style="579"/>
    <col min="3559" max="3559" width="5.28515625" style="579" customWidth="1"/>
    <col min="3560" max="3560" width="55.42578125" style="579" customWidth="1"/>
    <col min="3561" max="3561" width="23" style="579" customWidth="1"/>
    <col min="3562" max="3563" width="0" style="579" hidden="1" customWidth="1"/>
    <col min="3564" max="3564" width="58.5703125" style="579" customWidth="1"/>
    <col min="3565" max="3565" width="59.28515625" style="579" customWidth="1"/>
    <col min="3566" max="3569" width="0" style="579" hidden="1" customWidth="1"/>
    <col min="3570" max="3814" width="8.7109375" style="579"/>
    <col min="3815" max="3815" width="5.28515625" style="579" customWidth="1"/>
    <col min="3816" max="3816" width="55.42578125" style="579" customWidth="1"/>
    <col min="3817" max="3817" width="23" style="579" customWidth="1"/>
    <col min="3818" max="3819" width="0" style="579" hidden="1" customWidth="1"/>
    <col min="3820" max="3820" width="58.5703125" style="579" customWidth="1"/>
    <col min="3821" max="3821" width="59.28515625" style="579" customWidth="1"/>
    <col min="3822" max="3825" width="0" style="579" hidden="1" customWidth="1"/>
    <col min="3826" max="4070" width="8.7109375" style="579"/>
    <col min="4071" max="4071" width="5.28515625" style="579" customWidth="1"/>
    <col min="4072" max="4072" width="55.42578125" style="579" customWidth="1"/>
    <col min="4073" max="4073" width="23" style="579" customWidth="1"/>
    <col min="4074" max="4075" width="0" style="579" hidden="1" customWidth="1"/>
    <col min="4076" max="4076" width="58.5703125" style="579" customWidth="1"/>
    <col min="4077" max="4077" width="59.28515625" style="579" customWidth="1"/>
    <col min="4078" max="4081" width="0" style="579" hidden="1" customWidth="1"/>
    <col min="4082" max="4326" width="8.7109375" style="579"/>
    <col min="4327" max="4327" width="5.28515625" style="579" customWidth="1"/>
    <col min="4328" max="4328" width="55.42578125" style="579" customWidth="1"/>
    <col min="4329" max="4329" width="23" style="579" customWidth="1"/>
    <col min="4330" max="4331" width="0" style="579" hidden="1" customWidth="1"/>
    <col min="4332" max="4332" width="58.5703125" style="579" customWidth="1"/>
    <col min="4333" max="4333" width="59.28515625" style="579" customWidth="1"/>
    <col min="4334" max="4337" width="0" style="579" hidden="1" customWidth="1"/>
    <col min="4338" max="4582" width="8.7109375" style="579"/>
    <col min="4583" max="4583" width="5.28515625" style="579" customWidth="1"/>
    <col min="4584" max="4584" width="55.42578125" style="579" customWidth="1"/>
    <col min="4585" max="4585" width="23" style="579" customWidth="1"/>
    <col min="4586" max="4587" width="0" style="579" hidden="1" customWidth="1"/>
    <col min="4588" max="4588" width="58.5703125" style="579" customWidth="1"/>
    <col min="4589" max="4589" width="59.28515625" style="579" customWidth="1"/>
    <col min="4590" max="4593" width="0" style="579" hidden="1" customWidth="1"/>
    <col min="4594" max="4838" width="8.7109375" style="579"/>
    <col min="4839" max="4839" width="5.28515625" style="579" customWidth="1"/>
    <col min="4840" max="4840" width="55.42578125" style="579" customWidth="1"/>
    <col min="4841" max="4841" width="23" style="579" customWidth="1"/>
    <col min="4842" max="4843" width="0" style="579" hidden="1" customWidth="1"/>
    <col min="4844" max="4844" width="58.5703125" style="579" customWidth="1"/>
    <col min="4845" max="4845" width="59.28515625" style="579" customWidth="1"/>
    <col min="4846" max="4849" width="0" style="579" hidden="1" customWidth="1"/>
    <col min="4850" max="5094" width="8.7109375" style="579"/>
    <col min="5095" max="5095" width="5.28515625" style="579" customWidth="1"/>
    <col min="5096" max="5096" width="55.42578125" style="579" customWidth="1"/>
    <col min="5097" max="5097" width="23" style="579" customWidth="1"/>
    <col min="5098" max="5099" width="0" style="579" hidden="1" customWidth="1"/>
    <col min="5100" max="5100" width="58.5703125" style="579" customWidth="1"/>
    <col min="5101" max="5101" width="59.28515625" style="579" customWidth="1"/>
    <col min="5102" max="5105" width="0" style="579" hidden="1" customWidth="1"/>
    <col min="5106" max="5350" width="8.7109375" style="579"/>
    <col min="5351" max="5351" width="5.28515625" style="579" customWidth="1"/>
    <col min="5352" max="5352" width="55.42578125" style="579" customWidth="1"/>
    <col min="5353" max="5353" width="23" style="579" customWidth="1"/>
    <col min="5354" max="5355" width="0" style="579" hidden="1" customWidth="1"/>
    <col min="5356" max="5356" width="58.5703125" style="579" customWidth="1"/>
    <col min="5357" max="5357" width="59.28515625" style="579" customWidth="1"/>
    <col min="5358" max="5361" width="0" style="579" hidden="1" customWidth="1"/>
    <col min="5362" max="5606" width="8.7109375" style="579"/>
    <col min="5607" max="5607" width="5.28515625" style="579" customWidth="1"/>
    <col min="5608" max="5608" width="55.42578125" style="579" customWidth="1"/>
    <col min="5609" max="5609" width="23" style="579" customWidth="1"/>
    <col min="5610" max="5611" width="0" style="579" hidden="1" customWidth="1"/>
    <col min="5612" max="5612" width="58.5703125" style="579" customWidth="1"/>
    <col min="5613" max="5613" width="59.28515625" style="579" customWidth="1"/>
    <col min="5614" max="5617" width="0" style="579" hidden="1" customWidth="1"/>
    <col min="5618" max="5862" width="8.7109375" style="579"/>
    <col min="5863" max="5863" width="5.28515625" style="579" customWidth="1"/>
    <col min="5864" max="5864" width="55.42578125" style="579" customWidth="1"/>
    <col min="5865" max="5865" width="23" style="579" customWidth="1"/>
    <col min="5866" max="5867" width="0" style="579" hidden="1" customWidth="1"/>
    <col min="5868" max="5868" width="58.5703125" style="579" customWidth="1"/>
    <col min="5869" max="5869" width="59.28515625" style="579" customWidth="1"/>
    <col min="5870" max="5873" width="0" style="579" hidden="1" customWidth="1"/>
    <col min="5874" max="6118" width="8.7109375" style="579"/>
    <col min="6119" max="6119" width="5.28515625" style="579" customWidth="1"/>
    <col min="6120" max="6120" width="55.42578125" style="579" customWidth="1"/>
    <col min="6121" max="6121" width="23" style="579" customWidth="1"/>
    <col min="6122" max="6123" width="0" style="579" hidden="1" customWidth="1"/>
    <col min="6124" max="6124" width="58.5703125" style="579" customWidth="1"/>
    <col min="6125" max="6125" width="59.28515625" style="579" customWidth="1"/>
    <col min="6126" max="6129" width="0" style="579" hidden="1" customWidth="1"/>
    <col min="6130" max="6374" width="8.7109375" style="579"/>
    <col min="6375" max="6375" width="5.28515625" style="579" customWidth="1"/>
    <col min="6376" max="6376" width="55.42578125" style="579" customWidth="1"/>
    <col min="6377" max="6377" width="23" style="579" customWidth="1"/>
    <col min="6378" max="6379" width="0" style="579" hidden="1" customWidth="1"/>
    <col min="6380" max="6380" width="58.5703125" style="579" customWidth="1"/>
    <col min="6381" max="6381" width="59.28515625" style="579" customWidth="1"/>
    <col min="6382" max="6385" width="0" style="579" hidden="1" customWidth="1"/>
    <col min="6386" max="6630" width="8.7109375" style="579"/>
    <col min="6631" max="6631" width="5.28515625" style="579" customWidth="1"/>
    <col min="6632" max="6632" width="55.42578125" style="579" customWidth="1"/>
    <col min="6633" max="6633" width="23" style="579" customWidth="1"/>
    <col min="6634" max="6635" width="0" style="579" hidden="1" customWidth="1"/>
    <col min="6636" max="6636" width="58.5703125" style="579" customWidth="1"/>
    <col min="6637" max="6637" width="59.28515625" style="579" customWidth="1"/>
    <col min="6638" max="6641" width="0" style="579" hidden="1" customWidth="1"/>
    <col min="6642" max="6886" width="8.7109375" style="579"/>
    <col min="6887" max="6887" width="5.28515625" style="579" customWidth="1"/>
    <col min="6888" max="6888" width="55.42578125" style="579" customWidth="1"/>
    <col min="6889" max="6889" width="23" style="579" customWidth="1"/>
    <col min="6890" max="6891" width="0" style="579" hidden="1" customWidth="1"/>
    <col min="6892" max="6892" width="58.5703125" style="579" customWidth="1"/>
    <col min="6893" max="6893" width="59.28515625" style="579" customWidth="1"/>
    <col min="6894" max="6897" width="0" style="579" hidden="1" customWidth="1"/>
    <col min="6898" max="7142" width="8.7109375" style="579"/>
    <col min="7143" max="7143" width="5.28515625" style="579" customWidth="1"/>
    <col min="7144" max="7144" width="55.42578125" style="579" customWidth="1"/>
    <col min="7145" max="7145" width="23" style="579" customWidth="1"/>
    <col min="7146" max="7147" width="0" style="579" hidden="1" customWidth="1"/>
    <col min="7148" max="7148" width="58.5703125" style="579" customWidth="1"/>
    <col min="7149" max="7149" width="59.28515625" style="579" customWidth="1"/>
    <col min="7150" max="7153" width="0" style="579" hidden="1" customWidth="1"/>
    <col min="7154" max="7398" width="8.7109375" style="579"/>
    <col min="7399" max="7399" width="5.28515625" style="579" customWidth="1"/>
    <col min="7400" max="7400" width="55.42578125" style="579" customWidth="1"/>
    <col min="7401" max="7401" width="23" style="579" customWidth="1"/>
    <col min="7402" max="7403" width="0" style="579" hidden="1" customWidth="1"/>
    <col min="7404" max="7404" width="58.5703125" style="579" customWidth="1"/>
    <col min="7405" max="7405" width="59.28515625" style="579" customWidth="1"/>
    <col min="7406" max="7409" width="0" style="579" hidden="1" customWidth="1"/>
    <col min="7410" max="7654" width="8.7109375" style="579"/>
    <col min="7655" max="7655" width="5.28515625" style="579" customWidth="1"/>
    <col min="7656" max="7656" width="55.42578125" style="579" customWidth="1"/>
    <col min="7657" max="7657" width="23" style="579" customWidth="1"/>
    <col min="7658" max="7659" width="0" style="579" hidden="1" customWidth="1"/>
    <col min="7660" max="7660" width="58.5703125" style="579" customWidth="1"/>
    <col min="7661" max="7661" width="59.28515625" style="579" customWidth="1"/>
    <col min="7662" max="7665" width="0" style="579" hidden="1" customWidth="1"/>
    <col min="7666" max="7910" width="8.7109375" style="579"/>
    <col min="7911" max="7911" width="5.28515625" style="579" customWidth="1"/>
    <col min="7912" max="7912" width="55.42578125" style="579" customWidth="1"/>
    <col min="7913" max="7913" width="23" style="579" customWidth="1"/>
    <col min="7914" max="7915" width="0" style="579" hidden="1" customWidth="1"/>
    <col min="7916" max="7916" width="58.5703125" style="579" customWidth="1"/>
    <col min="7917" max="7917" width="59.28515625" style="579" customWidth="1"/>
    <col min="7918" max="7921" width="0" style="579" hidden="1" customWidth="1"/>
    <col min="7922" max="8166" width="8.7109375" style="579"/>
    <col min="8167" max="8167" width="5.28515625" style="579" customWidth="1"/>
    <col min="8168" max="8168" width="55.42578125" style="579" customWidth="1"/>
    <col min="8169" max="8169" width="23" style="579" customWidth="1"/>
    <col min="8170" max="8171" width="0" style="579" hidden="1" customWidth="1"/>
    <col min="8172" max="8172" width="58.5703125" style="579" customWidth="1"/>
    <col min="8173" max="8173" width="59.28515625" style="579" customWidth="1"/>
    <col min="8174" max="8177" width="0" style="579" hidden="1" customWidth="1"/>
    <col min="8178" max="8422" width="8.7109375" style="579"/>
    <col min="8423" max="8423" width="5.28515625" style="579" customWidth="1"/>
    <col min="8424" max="8424" width="55.42578125" style="579" customWidth="1"/>
    <col min="8425" max="8425" width="23" style="579" customWidth="1"/>
    <col min="8426" max="8427" width="0" style="579" hidden="1" customWidth="1"/>
    <col min="8428" max="8428" width="58.5703125" style="579" customWidth="1"/>
    <col min="8429" max="8429" width="59.28515625" style="579" customWidth="1"/>
    <col min="8430" max="8433" width="0" style="579" hidden="1" customWidth="1"/>
    <col min="8434" max="8678" width="8.7109375" style="579"/>
    <col min="8679" max="8679" width="5.28515625" style="579" customWidth="1"/>
    <col min="8680" max="8680" width="55.42578125" style="579" customWidth="1"/>
    <col min="8681" max="8681" width="23" style="579" customWidth="1"/>
    <col min="8682" max="8683" width="0" style="579" hidden="1" customWidth="1"/>
    <col min="8684" max="8684" width="58.5703125" style="579" customWidth="1"/>
    <col min="8685" max="8685" width="59.28515625" style="579" customWidth="1"/>
    <col min="8686" max="8689" width="0" style="579" hidden="1" customWidth="1"/>
    <col min="8690" max="8934" width="8.7109375" style="579"/>
    <col min="8935" max="8935" width="5.28515625" style="579" customWidth="1"/>
    <col min="8936" max="8936" width="55.42578125" style="579" customWidth="1"/>
    <col min="8937" max="8937" width="23" style="579" customWidth="1"/>
    <col min="8938" max="8939" width="0" style="579" hidden="1" customWidth="1"/>
    <col min="8940" max="8940" width="58.5703125" style="579" customWidth="1"/>
    <col min="8941" max="8941" width="59.28515625" style="579" customWidth="1"/>
    <col min="8942" max="8945" width="0" style="579" hidden="1" customWidth="1"/>
    <col min="8946" max="9190" width="8.7109375" style="579"/>
    <col min="9191" max="9191" width="5.28515625" style="579" customWidth="1"/>
    <col min="9192" max="9192" width="55.42578125" style="579" customWidth="1"/>
    <col min="9193" max="9193" width="23" style="579" customWidth="1"/>
    <col min="9194" max="9195" width="0" style="579" hidden="1" customWidth="1"/>
    <col min="9196" max="9196" width="58.5703125" style="579" customWidth="1"/>
    <col min="9197" max="9197" width="59.28515625" style="579" customWidth="1"/>
    <col min="9198" max="9201" width="0" style="579" hidden="1" customWidth="1"/>
    <col min="9202" max="9446" width="8.7109375" style="579"/>
    <col min="9447" max="9447" width="5.28515625" style="579" customWidth="1"/>
    <col min="9448" max="9448" width="55.42578125" style="579" customWidth="1"/>
    <col min="9449" max="9449" width="23" style="579" customWidth="1"/>
    <col min="9450" max="9451" width="0" style="579" hidden="1" customWidth="1"/>
    <col min="9452" max="9452" width="58.5703125" style="579" customWidth="1"/>
    <col min="9453" max="9453" width="59.28515625" style="579" customWidth="1"/>
    <col min="9454" max="9457" width="0" style="579" hidden="1" customWidth="1"/>
    <col min="9458" max="9702" width="8.7109375" style="579"/>
    <col min="9703" max="9703" width="5.28515625" style="579" customWidth="1"/>
    <col min="9704" max="9704" width="55.42578125" style="579" customWidth="1"/>
    <col min="9705" max="9705" width="23" style="579" customWidth="1"/>
    <col min="9706" max="9707" width="0" style="579" hidden="1" customWidth="1"/>
    <col min="9708" max="9708" width="58.5703125" style="579" customWidth="1"/>
    <col min="9709" max="9709" width="59.28515625" style="579" customWidth="1"/>
    <col min="9710" max="9713" width="0" style="579" hidden="1" customWidth="1"/>
    <col min="9714" max="9958" width="8.7109375" style="579"/>
    <col min="9959" max="9959" width="5.28515625" style="579" customWidth="1"/>
    <col min="9960" max="9960" width="55.42578125" style="579" customWidth="1"/>
    <col min="9961" max="9961" width="23" style="579" customWidth="1"/>
    <col min="9962" max="9963" width="0" style="579" hidden="1" customWidth="1"/>
    <col min="9964" max="9964" width="58.5703125" style="579" customWidth="1"/>
    <col min="9965" max="9965" width="59.28515625" style="579" customWidth="1"/>
    <col min="9966" max="9969" width="0" style="579" hidden="1" customWidth="1"/>
    <col min="9970" max="10214" width="8.7109375" style="579"/>
    <col min="10215" max="10215" width="5.28515625" style="579" customWidth="1"/>
    <col min="10216" max="10216" width="55.42578125" style="579" customWidth="1"/>
    <col min="10217" max="10217" width="23" style="579" customWidth="1"/>
    <col min="10218" max="10219" width="0" style="579" hidden="1" customWidth="1"/>
    <col min="10220" max="10220" width="58.5703125" style="579" customWidth="1"/>
    <col min="10221" max="10221" width="59.28515625" style="579" customWidth="1"/>
    <col min="10222" max="10225" width="0" style="579" hidden="1" customWidth="1"/>
    <col min="10226" max="10470" width="8.7109375" style="579"/>
    <col min="10471" max="10471" width="5.28515625" style="579" customWidth="1"/>
    <col min="10472" max="10472" width="55.42578125" style="579" customWidth="1"/>
    <col min="10473" max="10473" width="23" style="579" customWidth="1"/>
    <col min="10474" max="10475" width="0" style="579" hidden="1" customWidth="1"/>
    <col min="10476" max="10476" width="58.5703125" style="579" customWidth="1"/>
    <col min="10477" max="10477" width="59.28515625" style="579" customWidth="1"/>
    <col min="10478" max="10481" width="0" style="579" hidden="1" customWidth="1"/>
    <col min="10482" max="10726" width="8.7109375" style="579"/>
    <col min="10727" max="10727" width="5.28515625" style="579" customWidth="1"/>
    <col min="10728" max="10728" width="55.42578125" style="579" customWidth="1"/>
    <col min="10729" max="10729" width="23" style="579" customWidth="1"/>
    <col min="10730" max="10731" width="0" style="579" hidden="1" customWidth="1"/>
    <col min="10732" max="10732" width="58.5703125" style="579" customWidth="1"/>
    <col min="10733" max="10733" width="59.28515625" style="579" customWidth="1"/>
    <col min="10734" max="10737" width="0" style="579" hidden="1" customWidth="1"/>
    <col min="10738" max="10982" width="8.7109375" style="579"/>
    <col min="10983" max="10983" width="5.28515625" style="579" customWidth="1"/>
    <col min="10984" max="10984" width="55.42578125" style="579" customWidth="1"/>
    <col min="10985" max="10985" width="23" style="579" customWidth="1"/>
    <col min="10986" max="10987" width="0" style="579" hidden="1" customWidth="1"/>
    <col min="10988" max="10988" width="58.5703125" style="579" customWidth="1"/>
    <col min="10989" max="10989" width="59.28515625" style="579" customWidth="1"/>
    <col min="10990" max="10993" width="0" style="579" hidden="1" customWidth="1"/>
    <col min="10994" max="11238" width="8.7109375" style="579"/>
    <col min="11239" max="11239" width="5.28515625" style="579" customWidth="1"/>
    <col min="11240" max="11240" width="55.42578125" style="579" customWidth="1"/>
    <col min="11241" max="11241" width="23" style="579" customWidth="1"/>
    <col min="11242" max="11243" width="0" style="579" hidden="1" customWidth="1"/>
    <col min="11244" max="11244" width="58.5703125" style="579" customWidth="1"/>
    <col min="11245" max="11245" width="59.28515625" style="579" customWidth="1"/>
    <col min="11246" max="11249" width="0" style="579" hidden="1" customWidth="1"/>
    <col min="11250" max="11494" width="8.7109375" style="579"/>
    <col min="11495" max="11495" width="5.28515625" style="579" customWidth="1"/>
    <col min="11496" max="11496" width="55.42578125" style="579" customWidth="1"/>
    <col min="11497" max="11497" width="23" style="579" customWidth="1"/>
    <col min="11498" max="11499" width="0" style="579" hidden="1" customWidth="1"/>
    <col min="11500" max="11500" width="58.5703125" style="579" customWidth="1"/>
    <col min="11501" max="11501" width="59.28515625" style="579" customWidth="1"/>
    <col min="11502" max="11505" width="0" style="579" hidden="1" customWidth="1"/>
    <col min="11506" max="11750" width="8.7109375" style="579"/>
    <col min="11751" max="11751" width="5.28515625" style="579" customWidth="1"/>
    <col min="11752" max="11752" width="55.42578125" style="579" customWidth="1"/>
    <col min="11753" max="11753" width="23" style="579" customWidth="1"/>
    <col min="11754" max="11755" width="0" style="579" hidden="1" customWidth="1"/>
    <col min="11756" max="11756" width="58.5703125" style="579" customWidth="1"/>
    <col min="11757" max="11757" width="59.28515625" style="579" customWidth="1"/>
    <col min="11758" max="11761" width="0" style="579" hidden="1" customWidth="1"/>
    <col min="11762" max="12006" width="8.7109375" style="579"/>
    <col min="12007" max="12007" width="5.28515625" style="579" customWidth="1"/>
    <col min="12008" max="12008" width="55.42578125" style="579" customWidth="1"/>
    <col min="12009" max="12009" width="23" style="579" customWidth="1"/>
    <col min="12010" max="12011" width="0" style="579" hidden="1" customWidth="1"/>
    <col min="12012" max="12012" width="58.5703125" style="579" customWidth="1"/>
    <col min="12013" max="12013" width="59.28515625" style="579" customWidth="1"/>
    <col min="12014" max="12017" width="0" style="579" hidden="1" customWidth="1"/>
    <col min="12018" max="12262" width="8.7109375" style="579"/>
    <col min="12263" max="12263" width="5.28515625" style="579" customWidth="1"/>
    <col min="12264" max="12264" width="55.42578125" style="579" customWidth="1"/>
    <col min="12265" max="12265" width="23" style="579" customWidth="1"/>
    <col min="12266" max="12267" width="0" style="579" hidden="1" customWidth="1"/>
    <col min="12268" max="12268" width="58.5703125" style="579" customWidth="1"/>
    <col min="12269" max="12269" width="59.28515625" style="579" customWidth="1"/>
    <col min="12270" max="12273" width="0" style="579" hidden="1" customWidth="1"/>
    <col min="12274" max="12518" width="8.7109375" style="579"/>
    <col min="12519" max="12519" width="5.28515625" style="579" customWidth="1"/>
    <col min="12520" max="12520" width="55.42578125" style="579" customWidth="1"/>
    <col min="12521" max="12521" width="23" style="579" customWidth="1"/>
    <col min="12522" max="12523" width="0" style="579" hidden="1" customWidth="1"/>
    <col min="12524" max="12524" width="58.5703125" style="579" customWidth="1"/>
    <col min="12525" max="12525" width="59.28515625" style="579" customWidth="1"/>
    <col min="12526" max="12529" width="0" style="579" hidden="1" customWidth="1"/>
    <col min="12530" max="12774" width="8.7109375" style="579"/>
    <col min="12775" max="12775" width="5.28515625" style="579" customWidth="1"/>
    <col min="12776" max="12776" width="55.42578125" style="579" customWidth="1"/>
    <col min="12777" max="12777" width="23" style="579" customWidth="1"/>
    <col min="12778" max="12779" width="0" style="579" hidden="1" customWidth="1"/>
    <col min="12780" max="12780" width="58.5703125" style="579" customWidth="1"/>
    <col min="12781" max="12781" width="59.28515625" style="579" customWidth="1"/>
    <col min="12782" max="12785" width="0" style="579" hidden="1" customWidth="1"/>
    <col min="12786" max="13030" width="8.7109375" style="579"/>
    <col min="13031" max="13031" width="5.28515625" style="579" customWidth="1"/>
    <col min="13032" max="13032" width="55.42578125" style="579" customWidth="1"/>
    <col min="13033" max="13033" width="23" style="579" customWidth="1"/>
    <col min="13034" max="13035" width="0" style="579" hidden="1" customWidth="1"/>
    <col min="13036" max="13036" width="58.5703125" style="579" customWidth="1"/>
    <col min="13037" max="13037" width="59.28515625" style="579" customWidth="1"/>
    <col min="13038" max="13041" width="0" style="579" hidden="1" customWidth="1"/>
    <col min="13042" max="13286" width="8.7109375" style="579"/>
    <col min="13287" max="13287" width="5.28515625" style="579" customWidth="1"/>
    <col min="13288" max="13288" width="55.42578125" style="579" customWidth="1"/>
    <col min="13289" max="13289" width="23" style="579" customWidth="1"/>
    <col min="13290" max="13291" width="0" style="579" hidden="1" customWidth="1"/>
    <col min="13292" max="13292" width="58.5703125" style="579" customWidth="1"/>
    <col min="13293" max="13293" width="59.28515625" style="579" customWidth="1"/>
    <col min="13294" max="13297" width="0" style="579" hidden="1" customWidth="1"/>
    <col min="13298" max="13542" width="8.7109375" style="579"/>
    <col min="13543" max="13543" width="5.28515625" style="579" customWidth="1"/>
    <col min="13544" max="13544" width="55.42578125" style="579" customWidth="1"/>
    <col min="13545" max="13545" width="23" style="579" customWidth="1"/>
    <col min="13546" max="13547" width="0" style="579" hidden="1" customWidth="1"/>
    <col min="13548" max="13548" width="58.5703125" style="579" customWidth="1"/>
    <col min="13549" max="13549" width="59.28515625" style="579" customWidth="1"/>
    <col min="13550" max="13553" width="0" style="579" hidden="1" customWidth="1"/>
    <col min="13554" max="13798" width="8.7109375" style="579"/>
    <col min="13799" max="13799" width="5.28515625" style="579" customWidth="1"/>
    <col min="13800" max="13800" width="55.42578125" style="579" customWidth="1"/>
    <col min="13801" max="13801" width="23" style="579" customWidth="1"/>
    <col min="13802" max="13803" width="0" style="579" hidden="1" customWidth="1"/>
    <col min="13804" max="13804" width="58.5703125" style="579" customWidth="1"/>
    <col min="13805" max="13805" width="59.28515625" style="579" customWidth="1"/>
    <col min="13806" max="13809" width="0" style="579" hidden="1" customWidth="1"/>
    <col min="13810" max="14054" width="8.7109375" style="579"/>
    <col min="14055" max="14055" width="5.28515625" style="579" customWidth="1"/>
    <col min="14056" max="14056" width="55.42578125" style="579" customWidth="1"/>
    <col min="14057" max="14057" width="23" style="579" customWidth="1"/>
    <col min="14058" max="14059" width="0" style="579" hidden="1" customWidth="1"/>
    <col min="14060" max="14060" width="58.5703125" style="579" customWidth="1"/>
    <col min="14061" max="14061" width="59.28515625" style="579" customWidth="1"/>
    <col min="14062" max="14065" width="0" style="579" hidden="1" customWidth="1"/>
    <col min="14066" max="14310" width="8.7109375" style="579"/>
    <col min="14311" max="14311" width="5.28515625" style="579" customWidth="1"/>
    <col min="14312" max="14312" width="55.42578125" style="579" customWidth="1"/>
    <col min="14313" max="14313" width="23" style="579" customWidth="1"/>
    <col min="14314" max="14315" width="0" style="579" hidden="1" customWidth="1"/>
    <col min="14316" max="14316" width="58.5703125" style="579" customWidth="1"/>
    <col min="14317" max="14317" width="59.28515625" style="579" customWidth="1"/>
    <col min="14318" max="14321" width="0" style="579" hidden="1" customWidth="1"/>
    <col min="14322" max="14566" width="8.7109375" style="579"/>
    <col min="14567" max="14567" width="5.28515625" style="579" customWidth="1"/>
    <col min="14568" max="14568" width="55.42578125" style="579" customWidth="1"/>
    <col min="14569" max="14569" width="23" style="579" customWidth="1"/>
    <col min="14570" max="14571" width="0" style="579" hidden="1" customWidth="1"/>
    <col min="14572" max="14572" width="58.5703125" style="579" customWidth="1"/>
    <col min="14573" max="14573" width="59.28515625" style="579" customWidth="1"/>
    <col min="14574" max="14577" width="0" style="579" hidden="1" customWidth="1"/>
    <col min="14578" max="14822" width="8.7109375" style="579"/>
    <col min="14823" max="14823" width="5.28515625" style="579" customWidth="1"/>
    <col min="14824" max="14824" width="55.42578125" style="579" customWidth="1"/>
    <col min="14825" max="14825" width="23" style="579" customWidth="1"/>
    <col min="14826" max="14827" width="0" style="579" hidden="1" customWidth="1"/>
    <col min="14828" max="14828" width="58.5703125" style="579" customWidth="1"/>
    <col min="14829" max="14829" width="59.28515625" style="579" customWidth="1"/>
    <col min="14830" max="14833" width="0" style="579" hidden="1" customWidth="1"/>
    <col min="14834" max="15078" width="8.7109375" style="579"/>
    <col min="15079" max="15079" width="5.28515625" style="579" customWidth="1"/>
    <col min="15080" max="15080" width="55.42578125" style="579" customWidth="1"/>
    <col min="15081" max="15081" width="23" style="579" customWidth="1"/>
    <col min="15082" max="15083" width="0" style="579" hidden="1" customWidth="1"/>
    <col min="15084" max="15084" width="58.5703125" style="579" customWidth="1"/>
    <col min="15085" max="15085" width="59.28515625" style="579" customWidth="1"/>
    <col min="15086" max="15089" width="0" style="579" hidden="1" customWidth="1"/>
    <col min="15090" max="15334" width="8.7109375" style="579"/>
    <col min="15335" max="15335" width="5.28515625" style="579" customWidth="1"/>
    <col min="15336" max="15336" width="55.42578125" style="579" customWidth="1"/>
    <col min="15337" max="15337" width="23" style="579" customWidth="1"/>
    <col min="15338" max="15339" width="0" style="579" hidden="1" customWidth="1"/>
    <col min="15340" max="15340" width="58.5703125" style="579" customWidth="1"/>
    <col min="15341" max="15341" width="59.28515625" style="579" customWidth="1"/>
    <col min="15342" max="15345" width="0" style="579" hidden="1" customWidth="1"/>
    <col min="15346" max="15590" width="8.7109375" style="579"/>
    <col min="15591" max="15591" width="5.28515625" style="579" customWidth="1"/>
    <col min="15592" max="15592" width="55.42578125" style="579" customWidth="1"/>
    <col min="15593" max="15593" width="23" style="579" customWidth="1"/>
    <col min="15594" max="15595" width="0" style="579" hidden="1" customWidth="1"/>
    <col min="15596" max="15596" width="58.5703125" style="579" customWidth="1"/>
    <col min="15597" max="15597" width="59.28515625" style="579" customWidth="1"/>
    <col min="15598" max="15601" width="0" style="579" hidden="1" customWidth="1"/>
    <col min="15602" max="15846" width="8.7109375" style="579"/>
    <col min="15847" max="15847" width="5.28515625" style="579" customWidth="1"/>
    <col min="15848" max="15848" width="55.42578125" style="579" customWidth="1"/>
    <col min="15849" max="15849" width="23" style="579" customWidth="1"/>
    <col min="15850" max="15851" width="0" style="579" hidden="1" customWidth="1"/>
    <col min="15852" max="15852" width="58.5703125" style="579" customWidth="1"/>
    <col min="15853" max="15853" width="59.28515625" style="579" customWidth="1"/>
    <col min="15854" max="15857" width="0" style="579" hidden="1" customWidth="1"/>
    <col min="15858" max="16102" width="8.7109375" style="579"/>
    <col min="16103" max="16103" width="5.28515625" style="579" customWidth="1"/>
    <col min="16104" max="16104" width="55.42578125" style="579" customWidth="1"/>
    <col min="16105" max="16105" width="23" style="579" customWidth="1"/>
    <col min="16106" max="16107" width="0" style="579" hidden="1" customWidth="1"/>
    <col min="16108" max="16108" width="58.5703125" style="579" customWidth="1"/>
    <col min="16109" max="16109" width="59.28515625" style="579" customWidth="1"/>
    <col min="16110" max="16113" width="0" style="579" hidden="1" customWidth="1"/>
    <col min="16114" max="16357" width="8.7109375" style="579"/>
    <col min="16358" max="16384" width="8.42578125" style="579" customWidth="1"/>
  </cols>
  <sheetData>
    <row r="1" spans="2:6">
      <c r="C1" s="580" t="s">
        <v>178</v>
      </c>
    </row>
    <row r="2" spans="2:6">
      <c r="C2" s="582">
        <v>44682</v>
      </c>
    </row>
    <row r="3" spans="2:6">
      <c r="B3" s="583"/>
      <c r="C3" s="584" t="s">
        <v>180</v>
      </c>
    </row>
    <row r="4" spans="2:6" ht="24.95" customHeight="1" thickBot="1">
      <c r="B4" s="585" t="s">
        <v>181</v>
      </c>
      <c r="C4" s="586" t="s">
        <v>328</v>
      </c>
      <c r="D4" s="585" t="s">
        <v>185</v>
      </c>
      <c r="E4" s="587" t="s">
        <v>186</v>
      </c>
      <c r="F4" s="587" t="s">
        <v>189</v>
      </c>
    </row>
    <row r="5" spans="2:6" ht="39.950000000000003" customHeight="1">
      <c r="B5" s="588" t="s">
        <v>190</v>
      </c>
      <c r="C5" s="589">
        <v>20</v>
      </c>
      <c r="D5" s="743" t="s">
        <v>191</v>
      </c>
      <c r="E5" s="736" t="s">
        <v>192</v>
      </c>
      <c r="F5" s="736" t="s">
        <v>329</v>
      </c>
    </row>
    <row r="6" spans="2:6" ht="42.6" customHeight="1" thickBot="1">
      <c r="B6" s="590" t="s">
        <v>194</v>
      </c>
      <c r="C6" s="591">
        <f>C5*2080</f>
        <v>41600</v>
      </c>
      <c r="D6" s="744"/>
      <c r="E6" s="737"/>
      <c r="F6" s="737"/>
    </row>
    <row r="7" spans="2:6">
      <c r="B7" s="592" t="s">
        <v>195</v>
      </c>
      <c r="C7" s="589">
        <f>'[16]DC  CNA  DC III'!I19</f>
        <v>25.580080000000002</v>
      </c>
      <c r="D7" s="593" t="s">
        <v>196</v>
      </c>
      <c r="E7" s="736" t="s">
        <v>197</v>
      </c>
      <c r="F7" s="736" t="s">
        <v>330</v>
      </c>
    </row>
    <row r="8" spans="2:6" ht="46.5" customHeight="1" thickBot="1">
      <c r="B8" s="594" t="s">
        <v>199</v>
      </c>
      <c r="C8" s="595">
        <f>C7*2080</f>
        <v>53206.566400000003</v>
      </c>
      <c r="D8" s="581" t="s">
        <v>331</v>
      </c>
      <c r="E8" s="742"/>
      <c r="F8" s="742"/>
    </row>
    <row r="9" spans="2:6" ht="26.1" customHeight="1">
      <c r="B9" s="592" t="s">
        <v>201</v>
      </c>
      <c r="C9" s="589">
        <v>20</v>
      </c>
      <c r="D9" s="593"/>
      <c r="E9" s="736" t="s">
        <v>202</v>
      </c>
      <c r="F9" s="736" t="s">
        <v>413</v>
      </c>
    </row>
    <row r="10" spans="2:6" ht="27" thickBot="1">
      <c r="B10" s="596" t="s">
        <v>204</v>
      </c>
      <c r="C10" s="591">
        <f>C9*2080</f>
        <v>41600</v>
      </c>
      <c r="D10" s="597"/>
      <c r="E10" s="737"/>
      <c r="F10" s="737"/>
    </row>
    <row r="11" spans="2:6">
      <c r="B11" s="592" t="s">
        <v>205</v>
      </c>
      <c r="C11" s="589">
        <f>'[16]Case Social Worker.Manager'!J4</f>
        <v>28.180799999999998</v>
      </c>
      <c r="D11" s="593" t="s">
        <v>206</v>
      </c>
      <c r="E11" s="736" t="s">
        <v>207</v>
      </c>
      <c r="F11" s="736" t="s">
        <v>209</v>
      </c>
    </row>
    <row r="12" spans="2:6" ht="27" thickBot="1">
      <c r="B12" s="594" t="s">
        <v>210</v>
      </c>
      <c r="C12" s="595">
        <f>C11*2080</f>
        <v>58616.063999999998</v>
      </c>
      <c r="D12" s="579" t="s">
        <v>211</v>
      </c>
      <c r="E12" s="742"/>
      <c r="F12" s="742"/>
    </row>
    <row r="13" spans="2:6" ht="52.5">
      <c r="B13" s="598" t="s">
        <v>212</v>
      </c>
      <c r="C13" s="589">
        <f>'[16]Case Social Worker.Manager'!J11</f>
        <v>30.9283</v>
      </c>
      <c r="D13" s="593" t="s">
        <v>213</v>
      </c>
      <c r="E13" s="736" t="s">
        <v>214</v>
      </c>
      <c r="F13" s="736" t="s">
        <v>332</v>
      </c>
    </row>
    <row r="14" spans="2:6" ht="53.25" thickBot="1">
      <c r="B14" s="599" t="s">
        <v>216</v>
      </c>
      <c r="C14" s="591">
        <f>C13*2080</f>
        <v>64330.864000000001</v>
      </c>
      <c r="D14" s="597" t="s">
        <v>333</v>
      </c>
      <c r="E14" s="737"/>
      <c r="F14" s="737"/>
    </row>
    <row r="15" spans="2:6">
      <c r="B15" s="592" t="s">
        <v>217</v>
      </c>
      <c r="C15" s="589">
        <f>[16]Nursing!J2</f>
        <v>31.575200000000002</v>
      </c>
      <c r="D15" s="593"/>
      <c r="E15" s="736" t="s">
        <v>218</v>
      </c>
      <c r="F15" s="736" t="s">
        <v>219</v>
      </c>
    </row>
    <row r="16" spans="2:6" ht="27" thickBot="1">
      <c r="B16" s="596" t="s">
        <v>220</v>
      </c>
      <c r="C16" s="591">
        <f>C15*2080</f>
        <v>65676.416000000012</v>
      </c>
      <c r="D16" s="597" t="s">
        <v>334</v>
      </c>
      <c r="E16" s="737"/>
      <c r="F16" s="737"/>
    </row>
    <row r="17" spans="2:6">
      <c r="B17" s="592" t="s">
        <v>221</v>
      </c>
      <c r="C17" s="589">
        <f>[16]Clinical!J6</f>
        <v>38.753100000000003</v>
      </c>
      <c r="D17" s="593" t="s">
        <v>222</v>
      </c>
      <c r="E17" s="736" t="s">
        <v>223</v>
      </c>
      <c r="F17" s="736" t="s">
        <v>335</v>
      </c>
    </row>
    <row r="18" spans="2:6" ht="27" thickBot="1">
      <c r="B18" s="596" t="s">
        <v>225</v>
      </c>
      <c r="C18" s="591">
        <f>C17*2080</f>
        <v>80606.448000000004</v>
      </c>
      <c r="D18" s="597"/>
      <c r="E18" s="737"/>
      <c r="F18" s="737"/>
    </row>
    <row r="19" spans="2:6">
      <c r="B19" s="592" t="s">
        <v>226</v>
      </c>
      <c r="C19" s="600">
        <f>[16]Therapies!M2</f>
        <v>32.740400000000001</v>
      </c>
      <c r="D19" s="593"/>
      <c r="E19" s="736" t="s">
        <v>227</v>
      </c>
      <c r="F19" s="736" t="s">
        <v>228</v>
      </c>
    </row>
    <row r="20" spans="2:6" ht="27" thickBot="1">
      <c r="B20" s="596" t="s">
        <v>229</v>
      </c>
      <c r="C20" s="591">
        <f>C19*2080</f>
        <v>68100.032000000007</v>
      </c>
      <c r="D20" s="597"/>
      <c r="E20" s="737"/>
      <c r="F20" s="737"/>
    </row>
    <row r="21" spans="2:6">
      <c r="B21" s="594" t="s">
        <v>230</v>
      </c>
      <c r="C21" s="601">
        <f>[16]Management!J2</f>
        <v>38.180400000000006</v>
      </c>
      <c r="D21" s="579" t="s">
        <v>231</v>
      </c>
      <c r="E21" s="736" t="s">
        <v>232</v>
      </c>
      <c r="F21" s="740" t="s">
        <v>233</v>
      </c>
    </row>
    <row r="22" spans="2:6" ht="27" thickBot="1">
      <c r="B22" s="596" t="s">
        <v>234</v>
      </c>
      <c r="C22" s="591">
        <f>C21*2080</f>
        <v>79415.232000000018</v>
      </c>
      <c r="D22" s="597" t="s">
        <v>235</v>
      </c>
      <c r="E22" s="737"/>
      <c r="F22" s="741"/>
    </row>
    <row r="23" spans="2:6" ht="39.950000000000003" customHeight="1">
      <c r="B23" s="602" t="s">
        <v>336</v>
      </c>
      <c r="C23" s="601">
        <f>[16]Therapies!M8</f>
        <v>38.017499999999998</v>
      </c>
      <c r="D23" s="579" t="s">
        <v>237</v>
      </c>
      <c r="E23" s="736" t="s">
        <v>214</v>
      </c>
      <c r="F23" s="736" t="s">
        <v>337</v>
      </c>
    </row>
    <row r="24" spans="2:6" ht="39.950000000000003" customHeight="1" thickBot="1">
      <c r="B24" s="590" t="s">
        <v>338</v>
      </c>
      <c r="C24" s="591">
        <f>C23*2080</f>
        <v>79076.399999999994</v>
      </c>
      <c r="D24" s="597"/>
      <c r="E24" s="737"/>
      <c r="F24" s="737"/>
    </row>
    <row r="25" spans="2:6">
      <c r="B25" s="594" t="s">
        <v>240</v>
      </c>
      <c r="C25" s="601">
        <f>[16]Therapies!M14</f>
        <v>41.25168</v>
      </c>
      <c r="D25" s="579" t="s">
        <v>241</v>
      </c>
      <c r="E25" s="736" t="s">
        <v>214</v>
      </c>
      <c r="F25" s="736" t="s">
        <v>242</v>
      </c>
    </row>
    <row r="26" spans="2:6" ht="27" thickBot="1">
      <c r="B26" s="596" t="s">
        <v>243</v>
      </c>
      <c r="C26" s="595">
        <f>C25*2080</f>
        <v>85803.494399999996</v>
      </c>
      <c r="E26" s="737"/>
      <c r="F26" s="737"/>
    </row>
    <row r="27" spans="2:6">
      <c r="B27" s="592" t="s">
        <v>244</v>
      </c>
      <c r="C27" s="589">
        <f>[16]Clinical!J12</f>
        <v>48.742200000000004</v>
      </c>
      <c r="D27" s="738" t="s">
        <v>339</v>
      </c>
      <c r="E27" s="736" t="s">
        <v>246</v>
      </c>
      <c r="F27" s="736" t="s">
        <v>340</v>
      </c>
    </row>
    <row r="28" spans="2:6" ht="49.5" customHeight="1" thickBot="1">
      <c r="B28" s="596" t="s">
        <v>248</v>
      </c>
      <c r="C28" s="591">
        <f>C27*2080</f>
        <v>101383.77600000001</v>
      </c>
      <c r="D28" s="739"/>
      <c r="E28" s="737"/>
      <c r="F28" s="737"/>
    </row>
    <row r="29" spans="2:6">
      <c r="B29" s="588" t="s">
        <v>341</v>
      </c>
      <c r="C29" s="589">
        <f>[16]Therapies!M18</f>
        <v>42.756720000000001</v>
      </c>
      <c r="D29" s="593"/>
      <c r="E29" s="736" t="s">
        <v>214</v>
      </c>
      <c r="F29" s="736" t="s">
        <v>342</v>
      </c>
    </row>
    <row r="30" spans="2:6" ht="27" thickBot="1">
      <c r="B30" s="590" t="s">
        <v>343</v>
      </c>
      <c r="C30" s="591">
        <f>C29*2080</f>
        <v>88933.977599999998</v>
      </c>
      <c r="D30" s="597"/>
      <c r="E30" s="737"/>
      <c r="F30" s="737"/>
    </row>
    <row r="31" spans="2:6">
      <c r="B31" s="592" t="s">
        <v>252</v>
      </c>
      <c r="C31" s="589">
        <f>[16]Nursing!J6</f>
        <v>49.162799999999997</v>
      </c>
      <c r="D31" s="593"/>
      <c r="E31" s="736" t="s">
        <v>253</v>
      </c>
      <c r="F31" s="736" t="s">
        <v>254</v>
      </c>
    </row>
    <row r="32" spans="2:6" ht="53.25" customHeight="1" thickBot="1">
      <c r="B32" s="596" t="s">
        <v>255</v>
      </c>
      <c r="C32" s="591">
        <f>C31*2080</f>
        <v>102258.624</v>
      </c>
      <c r="D32" s="597"/>
      <c r="E32" s="737"/>
      <c r="F32" s="737"/>
    </row>
    <row r="33" spans="2:6">
      <c r="B33" s="592" t="s">
        <v>256</v>
      </c>
      <c r="C33" s="589">
        <f>[16]Nursing!J11</f>
        <v>65.162400000000005</v>
      </c>
      <c r="D33" s="593"/>
      <c r="E33" s="736" t="s">
        <v>257</v>
      </c>
      <c r="F33" s="736" t="s">
        <v>258</v>
      </c>
    </row>
    <row r="34" spans="2:6" ht="27" thickBot="1">
      <c r="B34" s="596" t="s">
        <v>259</v>
      </c>
      <c r="C34" s="591">
        <f>C33*2080</f>
        <v>135537.79200000002</v>
      </c>
      <c r="D34" s="597"/>
      <c r="E34" s="737"/>
      <c r="F34" s="737"/>
    </row>
    <row r="36" spans="2:6" ht="52.5">
      <c r="B36" s="603" t="s">
        <v>344</v>
      </c>
      <c r="C36" s="595">
        <f>C6</f>
        <v>41600</v>
      </c>
    </row>
    <row r="37" spans="2:6">
      <c r="C37" s="604"/>
    </row>
    <row r="38" spans="2:6">
      <c r="B38" s="605" t="s">
        <v>345</v>
      </c>
      <c r="C38" s="606">
        <f>25.38%+2%</f>
        <v>0.27379999999999999</v>
      </c>
      <c r="D38" s="579" t="s">
        <v>346</v>
      </c>
    </row>
    <row r="39" spans="2:6" ht="34.35" customHeight="1">
      <c r="B39" s="605"/>
      <c r="C39" s="604"/>
      <c r="D39" s="733" t="s">
        <v>347</v>
      </c>
      <c r="E39" s="733"/>
      <c r="F39" s="579"/>
    </row>
    <row r="40" spans="2:6">
      <c r="C40" s="604"/>
    </row>
    <row r="41" spans="2:6">
      <c r="B41" s="605" t="s">
        <v>264</v>
      </c>
      <c r="C41" s="607">
        <v>0.12</v>
      </c>
      <c r="D41" s="579" t="s">
        <v>265</v>
      </c>
    </row>
    <row r="42" spans="2:6">
      <c r="B42" s="605"/>
      <c r="C42" s="608"/>
    </row>
    <row r="43" spans="2:6">
      <c r="B43" s="734" t="s">
        <v>348</v>
      </c>
      <c r="C43" s="734"/>
      <c r="D43" s="734"/>
    </row>
    <row r="44" spans="2:6">
      <c r="B44" s="609" t="s">
        <v>349</v>
      </c>
      <c r="C44" s="595">
        <v>247470</v>
      </c>
      <c r="D44" s="579" t="s">
        <v>350</v>
      </c>
    </row>
    <row r="45" spans="2:6">
      <c r="B45" s="605" t="s">
        <v>268</v>
      </c>
      <c r="C45" s="595">
        <v>252850</v>
      </c>
      <c r="D45" s="579" t="s">
        <v>351</v>
      </c>
    </row>
    <row r="46" spans="2:6">
      <c r="B46" s="605" t="s">
        <v>352</v>
      </c>
      <c r="C46" s="595">
        <f>'[16]M2022 53_PCT'!N33</f>
        <v>135424.64000000001</v>
      </c>
      <c r="D46" s="579" t="s">
        <v>353</v>
      </c>
    </row>
    <row r="47" spans="2:6">
      <c r="B47" s="605" t="s">
        <v>354</v>
      </c>
      <c r="C47" s="610">
        <f>C6</f>
        <v>41600</v>
      </c>
      <c r="D47" s="579" t="s">
        <v>355</v>
      </c>
    </row>
    <row r="48" spans="2:6">
      <c r="B48" s="605" t="s">
        <v>356</v>
      </c>
      <c r="C48" s="610">
        <f>AVERAGE(C6,C8)</f>
        <v>47403.283200000005</v>
      </c>
      <c r="D48" s="579" t="s">
        <v>357</v>
      </c>
    </row>
    <row r="49" spans="2:6">
      <c r="B49" s="605" t="s">
        <v>358</v>
      </c>
      <c r="C49" s="595">
        <f>C8</f>
        <v>53206.566400000003</v>
      </c>
      <c r="D49" s="579" t="s">
        <v>359</v>
      </c>
    </row>
    <row r="50" spans="2:6">
      <c r="B50" s="605" t="s">
        <v>360</v>
      </c>
      <c r="C50" s="595">
        <f>'[16]M2022 53_PCT'!N34</f>
        <v>40890.303999999996</v>
      </c>
      <c r="D50" s="579" t="s">
        <v>361</v>
      </c>
    </row>
    <row r="51" spans="2:6">
      <c r="B51" s="605" t="s">
        <v>362</v>
      </c>
      <c r="C51" s="610">
        <f>'[16]M2022 53_PCT'!N37</f>
        <v>50652.160000000003</v>
      </c>
      <c r="D51" s="579" t="s">
        <v>363</v>
      </c>
    </row>
    <row r="52" spans="2:6">
      <c r="B52" s="605" t="s">
        <v>364</v>
      </c>
      <c r="C52" s="610">
        <f>AVERAGE('[16]M2022 53_PCT'!N35,'[16]M2022 53_PCT'!N36)</f>
        <v>57014.464000000007</v>
      </c>
      <c r="D52" s="579" t="s">
        <v>365</v>
      </c>
    </row>
    <row r="53" spans="2:6">
      <c r="B53" s="605"/>
      <c r="C53" s="610"/>
    </row>
    <row r="54" spans="2:6">
      <c r="B54" s="605"/>
      <c r="C54" s="610"/>
    </row>
    <row r="55" spans="2:6">
      <c r="B55" s="735" t="s">
        <v>366</v>
      </c>
      <c r="C55" s="735"/>
      <c r="D55" s="735"/>
      <c r="E55" s="735"/>
      <c r="F55" s="735"/>
    </row>
    <row r="56" spans="2:6">
      <c r="B56" s="611" t="s">
        <v>367</v>
      </c>
      <c r="C56" s="579" t="s">
        <v>368</v>
      </c>
    </row>
    <row r="57" spans="2:6" ht="66.599999999999994" customHeight="1">
      <c r="B57" s="612" t="s">
        <v>369</v>
      </c>
      <c r="C57" s="733" t="s">
        <v>370</v>
      </c>
      <c r="D57" s="733"/>
      <c r="E57" s="733"/>
      <c r="F57" s="733"/>
    </row>
  </sheetData>
  <mergeCells count="36">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B55:F55"/>
    <mergeCell ref="C57:F57"/>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3"/>
  <sheetViews>
    <sheetView zoomScale="85" zoomScaleNormal="85" workbookViewId="0">
      <selection activeCell="N26" sqref="N26:O27"/>
    </sheetView>
  </sheetViews>
  <sheetFormatPr defaultColWidth="9.140625" defaultRowHeight="15"/>
  <cols>
    <col min="1" max="1" width="31.5703125" style="59" customWidth="1"/>
    <col min="2" max="2" width="29" style="59" customWidth="1"/>
    <col min="3" max="3" width="26.140625" style="59" customWidth="1"/>
    <col min="4" max="4" width="5.140625" style="59" customWidth="1"/>
    <col min="5" max="5" width="13.140625" style="59" customWidth="1"/>
    <col min="6" max="6" width="14.28515625" style="66" bestFit="1" customWidth="1"/>
    <col min="7" max="8" width="13.140625" style="66" customWidth="1"/>
    <col min="9" max="9" width="13.140625" style="59" customWidth="1"/>
    <col min="10" max="10" width="5.5703125" style="59" bestFit="1" customWidth="1"/>
    <col min="11" max="11" width="22.140625" style="59" customWidth="1"/>
    <col min="12" max="12" width="10.42578125" style="66" customWidth="1"/>
    <col min="13" max="13" width="11.140625" style="66" customWidth="1"/>
    <col min="14" max="14" width="10" style="66" customWidth="1"/>
    <col min="15" max="15" width="14.85546875" style="59" customWidth="1"/>
    <col min="16" max="16384" width="9.140625" style="59"/>
  </cols>
  <sheetData>
    <row r="1" spans="1:15" ht="15.75" thickBot="1"/>
    <row r="2" spans="1:15" ht="16.5" thickBot="1">
      <c r="A2" s="752" t="s">
        <v>281</v>
      </c>
      <c r="B2" s="753"/>
      <c r="C2" s="754"/>
      <c r="E2" s="755" t="s">
        <v>17</v>
      </c>
      <c r="F2" s="756"/>
      <c r="G2" s="756"/>
      <c r="H2" s="756"/>
      <c r="I2" s="757"/>
      <c r="K2" s="758" t="s">
        <v>18</v>
      </c>
      <c r="L2" s="759"/>
      <c r="M2" s="759"/>
      <c r="N2" s="759"/>
      <c r="O2" s="760"/>
    </row>
    <row r="3" spans="1:15" ht="18" customHeight="1">
      <c r="A3" s="91"/>
      <c r="B3" s="81"/>
      <c r="C3" s="446"/>
      <c r="E3" s="143" t="s">
        <v>20</v>
      </c>
      <c r="F3" s="144" t="s">
        <v>21</v>
      </c>
      <c r="G3" s="145" t="s">
        <v>22</v>
      </c>
      <c r="H3" s="146">
        <v>365</v>
      </c>
      <c r="I3" s="147">
        <f>H3*F4</f>
        <v>2920</v>
      </c>
      <c r="K3" s="143" t="s">
        <v>20</v>
      </c>
      <c r="L3" s="144" t="s">
        <v>21</v>
      </c>
      <c r="M3" s="145" t="s">
        <v>22</v>
      </c>
      <c r="N3" s="146">
        <v>365</v>
      </c>
      <c r="O3" s="147">
        <v>2920</v>
      </c>
    </row>
    <row r="4" spans="1:15" ht="15.75">
      <c r="A4" s="415" t="s">
        <v>322</v>
      </c>
      <c r="B4" s="348" t="s">
        <v>326</v>
      </c>
      <c r="C4" s="574">
        <f>'M2022 BLS SALARY CHART (53_PCT)'!C12</f>
        <v>58616.063999999998</v>
      </c>
      <c r="E4" s="143"/>
      <c r="F4" s="149">
        <v>8</v>
      </c>
      <c r="G4" s="145"/>
      <c r="H4" s="146"/>
      <c r="I4" s="150"/>
      <c r="K4" s="143"/>
      <c r="L4" s="149">
        <v>8</v>
      </c>
      <c r="M4" s="145"/>
      <c r="N4" s="146"/>
      <c r="O4" s="150"/>
    </row>
    <row r="5" spans="1:15" ht="15.75">
      <c r="A5" s="415" t="s">
        <v>62</v>
      </c>
      <c r="B5" s="348" t="s">
        <v>326</v>
      </c>
      <c r="C5" s="574">
        <f>'M2022 BLS SALARY CHART (53_PCT)'!C8</f>
        <v>53206.566400000003</v>
      </c>
      <c r="E5" s="761"/>
      <c r="F5" s="762"/>
      <c r="G5" s="151" t="s">
        <v>25</v>
      </c>
      <c r="H5" s="152" t="s">
        <v>26</v>
      </c>
      <c r="I5" s="153" t="s">
        <v>27</v>
      </c>
      <c r="K5" s="761"/>
      <c r="L5" s="762"/>
      <c r="M5" s="151" t="s">
        <v>25</v>
      </c>
      <c r="N5" s="152" t="s">
        <v>26</v>
      </c>
      <c r="O5" s="153" t="s">
        <v>27</v>
      </c>
    </row>
    <row r="6" spans="1:15" ht="15.75">
      <c r="A6" s="415" t="s">
        <v>28</v>
      </c>
      <c r="B6" s="348" t="s">
        <v>326</v>
      </c>
      <c r="C6" s="574">
        <f>'M2022 BLS SALARY CHART (53_PCT)'!C6</f>
        <v>41600</v>
      </c>
      <c r="E6" s="746" t="str">
        <f>A4</f>
        <v>Specialty Site Supervisor</v>
      </c>
      <c r="F6" s="747"/>
      <c r="G6" s="154">
        <f>C4</f>
        <v>58616.063999999998</v>
      </c>
      <c r="H6" s="155">
        <v>1</v>
      </c>
      <c r="I6" s="156">
        <f>G6*H6</f>
        <v>58616.063999999998</v>
      </c>
      <c r="K6" s="746" t="str">
        <f>E6</f>
        <v>Specialty Site Supervisor</v>
      </c>
      <c r="L6" s="747"/>
      <c r="M6" s="154">
        <f>G6</f>
        <v>58616.063999999998</v>
      </c>
      <c r="N6" s="155">
        <f>H6</f>
        <v>1</v>
      </c>
      <c r="O6" s="156">
        <f>M6*N6</f>
        <v>58616.063999999998</v>
      </c>
    </row>
    <row r="7" spans="1:15" ht="15.75">
      <c r="A7" s="415" t="str">
        <f>'4625 - Residential Housing Stab'!A7</f>
        <v xml:space="preserve">Relief / Consult / Temp </v>
      </c>
      <c r="B7" s="348" t="s">
        <v>326</v>
      </c>
      <c r="C7" s="574">
        <f>C6</f>
        <v>41600</v>
      </c>
      <c r="E7" s="748" t="s">
        <v>31</v>
      </c>
      <c r="F7" s="749"/>
      <c r="G7" s="154">
        <f>C5</f>
        <v>53206.566400000003</v>
      </c>
      <c r="H7" s="155">
        <v>0.3</v>
      </c>
      <c r="I7" s="156">
        <f>G7*H7</f>
        <v>15961.96992</v>
      </c>
      <c r="K7" s="748" t="str">
        <f t="shared" ref="K7:K8" si="0">E7</f>
        <v xml:space="preserve">Direct Care III  </v>
      </c>
      <c r="L7" s="749"/>
      <c r="M7" s="154">
        <f t="shared" ref="M7:N8" si="1">G7</f>
        <v>53206.566400000003</v>
      </c>
      <c r="N7" s="155">
        <f t="shared" si="1"/>
        <v>0.3</v>
      </c>
      <c r="O7" s="156">
        <f t="shared" ref="O7:O8" si="2">M7*N7</f>
        <v>15961.96992</v>
      </c>
    </row>
    <row r="8" spans="1:15" ht="16.5" thickBot="1">
      <c r="A8" s="77" t="s">
        <v>33</v>
      </c>
      <c r="B8" s="79"/>
      <c r="C8" s="47"/>
      <c r="E8" s="750" t="s">
        <v>9</v>
      </c>
      <c r="F8" s="751"/>
      <c r="G8" s="154">
        <f>C6</f>
        <v>41600</v>
      </c>
      <c r="H8" s="155">
        <v>6.0328999999999997</v>
      </c>
      <c r="I8" s="156">
        <f t="shared" ref="I8" si="3">G8*H8</f>
        <v>250968.63999999998</v>
      </c>
      <c r="K8" s="748" t="str">
        <f t="shared" si="0"/>
        <v xml:space="preserve">Direct Care </v>
      </c>
      <c r="L8" s="749"/>
      <c r="M8" s="154">
        <f t="shared" si="1"/>
        <v>41600</v>
      </c>
      <c r="N8" s="155">
        <f t="shared" si="1"/>
        <v>6.0328999999999997</v>
      </c>
      <c r="O8" s="156">
        <f t="shared" si="2"/>
        <v>250968.63999999998</v>
      </c>
    </row>
    <row r="9" spans="1:15" ht="16.5" thickBot="1">
      <c r="A9" s="415" t="s">
        <v>12</v>
      </c>
      <c r="B9" s="348" t="s">
        <v>327</v>
      </c>
      <c r="C9" s="447">
        <f>'M2022 BLS SALARY CHART (53_PCT)'!C38</f>
        <v>0.27379999999999999</v>
      </c>
      <c r="E9" s="422" t="s">
        <v>30</v>
      </c>
      <c r="F9" s="427"/>
      <c r="G9" s="428"/>
      <c r="H9" s="429">
        <f>SUM(H6:H8)</f>
        <v>7.3328999999999995</v>
      </c>
      <c r="I9" s="430">
        <f>SUM(I6:I8)</f>
        <v>325546.67391999997</v>
      </c>
      <c r="K9" s="422" t="s">
        <v>30</v>
      </c>
      <c r="L9" s="427"/>
      <c r="M9" s="428"/>
      <c r="N9" s="429">
        <f>SUM(N6:N8)</f>
        <v>7.3328999999999995</v>
      </c>
      <c r="O9" s="430">
        <f>SUM(O6:O8)</f>
        <v>325546.67391999997</v>
      </c>
    </row>
    <row r="10" spans="1:15" ht="15.75">
      <c r="A10" s="415" t="s">
        <v>304</v>
      </c>
      <c r="B10" s="348" t="s">
        <v>414</v>
      </c>
      <c r="C10" s="652">
        <f>'FY22 UFR Data'!Q29</f>
        <v>18.267952501488981</v>
      </c>
      <c r="E10" s="159" t="s">
        <v>12</v>
      </c>
      <c r="F10" s="160"/>
      <c r="G10" s="161">
        <f>C9</f>
        <v>0.27379999999999999</v>
      </c>
      <c r="H10" s="162"/>
      <c r="I10" s="156">
        <f>G10*I9</f>
        <v>89134.679319295989</v>
      </c>
      <c r="K10" s="159" t="s">
        <v>12</v>
      </c>
      <c r="L10" s="160"/>
      <c r="M10" s="161">
        <f>G10</f>
        <v>0.27379999999999999</v>
      </c>
      <c r="N10" s="162"/>
      <c r="O10" s="156">
        <f>M10*O9</f>
        <v>89134.679319295989</v>
      </c>
    </row>
    <row r="11" spans="1:15" ht="16.5" thickBot="1">
      <c r="A11" s="415" t="s">
        <v>305</v>
      </c>
      <c r="B11" s="348" t="s">
        <v>415</v>
      </c>
      <c r="C11" s="652">
        <f>C10*(30%)</f>
        <v>5.4803857504466942</v>
      </c>
      <c r="E11" s="163" t="s">
        <v>32</v>
      </c>
      <c r="F11" s="164"/>
      <c r="G11" s="165"/>
      <c r="H11" s="166"/>
      <c r="I11" s="167">
        <f>SUM(I9:I10)</f>
        <v>414681.35323929595</v>
      </c>
      <c r="K11" s="172" t="s">
        <v>32</v>
      </c>
      <c r="L11" s="173"/>
      <c r="M11" s="432"/>
      <c r="N11" s="433"/>
      <c r="O11" s="434">
        <f>SUM(O9:O10)</f>
        <v>414681.35323929595</v>
      </c>
    </row>
    <row r="12" spans="1:15" ht="16.5" thickBot="1">
      <c r="A12" s="415" t="s">
        <v>306</v>
      </c>
      <c r="B12" s="348" t="s">
        <v>414</v>
      </c>
      <c r="C12" s="653">
        <f>'FY22 UFR Data'!T29</f>
        <v>4.9652173913043482E-2</v>
      </c>
      <c r="E12" s="422" t="s">
        <v>33</v>
      </c>
      <c r="F12" s="423"/>
      <c r="G12" s="424"/>
      <c r="H12" s="425" t="s">
        <v>34</v>
      </c>
      <c r="I12" s="426"/>
      <c r="K12" s="422" t="s">
        <v>33</v>
      </c>
      <c r="L12" s="423"/>
      <c r="M12" s="424"/>
      <c r="N12" s="425" t="s">
        <v>34</v>
      </c>
      <c r="O12" s="426"/>
    </row>
    <row r="13" spans="1:15" ht="15.75">
      <c r="A13" s="415" t="s">
        <v>277</v>
      </c>
      <c r="B13" s="348" t="s">
        <v>414</v>
      </c>
      <c r="C13" s="653">
        <f>'FY22 UFR Data'!N29</f>
        <v>24.317634306134604</v>
      </c>
      <c r="E13" s="550" t="str">
        <f>A7</f>
        <v xml:space="preserve">Relief / Consult / Temp </v>
      </c>
      <c r="F13" s="551"/>
      <c r="G13" s="552"/>
      <c r="H13" s="553"/>
      <c r="I13" s="554">
        <f>(H8+H7)*C24*C7</f>
        <v>38909.337599999992</v>
      </c>
      <c r="K13" s="550" t="str">
        <f>A7</f>
        <v xml:space="preserve">Relief / Consult / Temp </v>
      </c>
      <c r="L13" s="551"/>
      <c r="M13" s="552"/>
      <c r="N13" s="553"/>
      <c r="O13" s="554">
        <f>I13</f>
        <v>38909.337599999992</v>
      </c>
    </row>
    <row r="14" spans="1:15" ht="15.75">
      <c r="A14" s="415" t="s">
        <v>39</v>
      </c>
      <c r="B14" s="348" t="s">
        <v>327</v>
      </c>
      <c r="C14" s="447">
        <f>'M2020 BLS  SALARY CHART'!C44</f>
        <v>0.12</v>
      </c>
      <c r="E14" s="159" t="str">
        <f>A10</f>
        <v>Occupancy (per unit)</v>
      </c>
      <c r="F14" s="160"/>
      <c r="G14" s="168"/>
      <c r="H14" s="418">
        <f>C10</f>
        <v>18.267952501488981</v>
      </c>
      <c r="I14" s="156">
        <f>H14*I3</f>
        <v>53342.421304347823</v>
      </c>
      <c r="K14" s="159" t="str">
        <f>E14</f>
        <v>Occupancy (per unit)</v>
      </c>
      <c r="L14" s="160"/>
      <c r="M14" s="168"/>
      <c r="N14" s="418">
        <f>C11</f>
        <v>5.4803857504466942</v>
      </c>
      <c r="O14" s="156">
        <f>O3*N14</f>
        <v>16002.726391304346</v>
      </c>
    </row>
    <row r="15" spans="1:15" ht="15.75">
      <c r="A15" s="416" t="s">
        <v>282</v>
      </c>
      <c r="B15" s="352"/>
      <c r="C15" s="448">
        <v>0.98</v>
      </c>
      <c r="E15" s="159" t="str">
        <f>A13</f>
        <v xml:space="preserve">All other expenses </v>
      </c>
      <c r="F15" s="160"/>
      <c r="G15" s="168"/>
      <c r="H15" s="418">
        <f>C13</f>
        <v>24.317634306134604</v>
      </c>
      <c r="I15" s="156">
        <f>I3*H15</f>
        <v>71007.492173913037</v>
      </c>
      <c r="K15" s="159" t="str">
        <f t="shared" ref="K15:K16" si="4">E15</f>
        <v xml:space="preserve">All other expenses </v>
      </c>
      <c r="L15" s="160"/>
      <c r="M15" s="168"/>
      <c r="N15" s="418">
        <f>H15</f>
        <v>24.317634306134604</v>
      </c>
      <c r="O15" s="156">
        <f>O3*N15</f>
        <v>71007.492173913037</v>
      </c>
    </row>
    <row r="16" spans="1:15" ht="15.75">
      <c r="A16" s="416" t="s">
        <v>15</v>
      </c>
      <c r="B16" s="352"/>
      <c r="C16" s="449">
        <f>'Fall CAF 2023'!CR28</f>
        <v>2.5758086673353865E-2</v>
      </c>
      <c r="E16" s="159" t="str">
        <f>A12</f>
        <v>Staff Training (per  unit)</v>
      </c>
      <c r="F16" s="160"/>
      <c r="G16" s="168"/>
      <c r="H16" s="418">
        <f>C12</f>
        <v>4.9652173913043482E-2</v>
      </c>
      <c r="I16" s="156">
        <f>H16*I3</f>
        <v>144.98434782608697</v>
      </c>
      <c r="K16" s="159" t="str">
        <f t="shared" si="4"/>
        <v>Staff Training (per  unit)</v>
      </c>
      <c r="L16" s="160"/>
      <c r="M16" s="168"/>
      <c r="N16" s="418">
        <f>H16</f>
        <v>4.9652173913043482E-2</v>
      </c>
      <c r="O16" s="156">
        <f>I16</f>
        <v>144.98434782608697</v>
      </c>
    </row>
    <row r="17" spans="1:16" ht="15.75" thickBot="1">
      <c r="A17" s="67" t="s">
        <v>391</v>
      </c>
      <c r="C17" s="450"/>
      <c r="E17" s="159" t="s">
        <v>325</v>
      </c>
      <c r="F17" s="160"/>
      <c r="G17" s="168"/>
      <c r="H17" s="418">
        <v>22.4</v>
      </c>
      <c r="I17" s="156">
        <f>I3*H17</f>
        <v>65407.999999999993</v>
      </c>
      <c r="K17" s="159" t="str">
        <f>E17</f>
        <v>Additional Program Expenses (per unit)</v>
      </c>
      <c r="L17" s="160"/>
      <c r="M17" s="168"/>
      <c r="N17" s="418">
        <v>20.2</v>
      </c>
      <c r="O17" s="156">
        <f>N17*O3</f>
        <v>58984</v>
      </c>
    </row>
    <row r="18" spans="1:16" ht="16.5" thickBot="1">
      <c r="A18" s="117" t="s">
        <v>44</v>
      </c>
      <c r="B18" s="118" t="s">
        <v>45</v>
      </c>
      <c r="C18" s="119" t="s">
        <v>46</v>
      </c>
      <c r="E18" s="159"/>
      <c r="F18" s="160"/>
      <c r="G18" s="168"/>
      <c r="H18" s="157"/>
      <c r="I18" s="158">
        <f>SUM(I13:I17)</f>
        <v>228812.2354260869</v>
      </c>
      <c r="K18" s="159"/>
      <c r="L18" s="160"/>
      <c r="M18" s="168"/>
      <c r="N18" s="157"/>
      <c r="O18" s="158">
        <f>SUM(O13:O17)</f>
        <v>185048.54051304347</v>
      </c>
    </row>
    <row r="19" spans="1:16" ht="16.5" thickBot="1">
      <c r="A19" s="120" t="s">
        <v>47</v>
      </c>
      <c r="B19" s="121">
        <v>15</v>
      </c>
      <c r="C19" s="47">
        <f>B19*8</f>
        <v>120</v>
      </c>
      <c r="E19" s="422" t="s">
        <v>38</v>
      </c>
      <c r="F19" s="427"/>
      <c r="G19" s="431"/>
      <c r="H19" s="429"/>
      <c r="I19" s="430">
        <f>I11+I18</f>
        <v>643493.58866538282</v>
      </c>
      <c r="K19" s="422" t="s">
        <v>38</v>
      </c>
      <c r="L19" s="427"/>
      <c r="M19" s="431"/>
      <c r="N19" s="429"/>
      <c r="O19" s="430">
        <f>O11+O18</f>
        <v>599729.89375233941</v>
      </c>
    </row>
    <row r="20" spans="1:16" ht="15.75">
      <c r="A20" s="120" t="s">
        <v>48</v>
      </c>
      <c r="B20" s="121">
        <v>8</v>
      </c>
      <c r="C20" s="47">
        <f t="shared" ref="C20:C22" si="5">B20*8</f>
        <v>64</v>
      </c>
      <c r="E20" s="159" t="s">
        <v>39</v>
      </c>
      <c r="F20" s="160"/>
      <c r="G20" s="161">
        <f>C14</f>
        <v>0.12</v>
      </c>
      <c r="H20" s="170"/>
      <c r="I20" s="171">
        <f>G20*I19</f>
        <v>77219.230639845933</v>
      </c>
      <c r="K20" s="159" t="s">
        <v>39</v>
      </c>
      <c r="L20" s="160"/>
      <c r="M20" s="161">
        <f>C14</f>
        <v>0.12</v>
      </c>
      <c r="N20" s="170"/>
      <c r="O20" s="156">
        <f>O19*M20</f>
        <v>71967.587250280732</v>
      </c>
    </row>
    <row r="21" spans="1:16" ht="15.75">
      <c r="A21" s="120" t="s">
        <v>49</v>
      </c>
      <c r="B21" s="121">
        <v>11</v>
      </c>
      <c r="C21" s="47">
        <f t="shared" si="5"/>
        <v>88</v>
      </c>
      <c r="E21" s="172" t="s">
        <v>40</v>
      </c>
      <c r="F21" s="173"/>
      <c r="G21" s="174"/>
      <c r="H21" s="157"/>
      <c r="I21" s="175">
        <f>SUM(I19:I20)</f>
        <v>720712.81930522877</v>
      </c>
      <c r="K21" s="172" t="s">
        <v>40</v>
      </c>
      <c r="L21" s="173"/>
      <c r="M21" s="174"/>
      <c r="N21" s="157"/>
      <c r="O21" s="176">
        <f>SUM(O19:O20)</f>
        <v>671697.48100262019</v>
      </c>
    </row>
    <row r="22" spans="1:16" ht="16.5" thickBot="1">
      <c r="A22" s="122" t="s">
        <v>50</v>
      </c>
      <c r="B22" s="123">
        <v>4.4000000000000004</v>
      </c>
      <c r="C22" s="124">
        <f t="shared" si="5"/>
        <v>35.200000000000003</v>
      </c>
      <c r="E22" s="177" t="str">
        <f>A16</f>
        <v>CAF</v>
      </c>
      <c r="F22" s="84"/>
      <c r="G22" s="68">
        <f>C16</f>
        <v>2.5758086673353865E-2</v>
      </c>
      <c r="H22" s="157"/>
      <c r="I22" s="178">
        <f>I19*G22</f>
        <v>16575.16363059045</v>
      </c>
      <c r="K22" s="177" t="str">
        <f>E22</f>
        <v>CAF</v>
      </c>
      <c r="L22" s="59"/>
      <c r="M22" s="68">
        <f>C16</f>
        <v>2.5758086673353865E-2</v>
      </c>
      <c r="N22" s="157"/>
      <c r="O22" s="178">
        <f>O19*M22</f>
        <v>15447.894583874064</v>
      </c>
    </row>
    <row r="23" spans="1:16" ht="17.25" thickTop="1" thickBot="1">
      <c r="A23" s="120"/>
      <c r="B23" s="125" t="s">
        <v>51</v>
      </c>
      <c r="C23" s="47">
        <f>SUM(C19:C22)</f>
        <v>307.2</v>
      </c>
      <c r="E23" s="67"/>
      <c r="H23" s="157"/>
      <c r="I23" s="179">
        <f>SUM(I21:I22)</f>
        <v>737287.98293581919</v>
      </c>
      <c r="K23" s="67"/>
      <c r="N23" s="157"/>
      <c r="O23" s="179">
        <f>SUM(O21:O22)</f>
        <v>687145.37558649422</v>
      </c>
    </row>
    <row r="24" spans="1:16" ht="17.25" thickTop="1" thickBot="1">
      <c r="A24" s="126"/>
      <c r="B24" s="127" t="s">
        <v>52</v>
      </c>
      <c r="C24" s="128">
        <f>C23/(52*40)</f>
        <v>0.14769230769230768</v>
      </c>
      <c r="E24" s="180"/>
      <c r="F24" s="181"/>
      <c r="G24" s="182"/>
      <c r="H24" s="183"/>
      <c r="I24" s="421">
        <f>I23/I3</f>
        <v>252.49588456706138</v>
      </c>
      <c r="K24" s="67"/>
      <c r="L24" s="181"/>
      <c r="M24" s="182"/>
      <c r="N24" s="183"/>
      <c r="O24" s="421">
        <f>O23/O3</f>
        <v>235.32375876249802</v>
      </c>
    </row>
    <row r="25" spans="1:16" ht="15.75" thickBot="1">
      <c r="A25" s="148"/>
      <c r="B25" s="148"/>
      <c r="C25" s="169"/>
      <c r="E25" s="140" t="s">
        <v>41</v>
      </c>
      <c r="F25" s="141"/>
      <c r="G25" s="572">
        <f>C15</f>
        <v>0.98</v>
      </c>
      <c r="H25" s="141"/>
      <c r="I25" s="184">
        <f>I24/G25+0.02</f>
        <v>257.66886180312383</v>
      </c>
      <c r="K25" s="140" t="s">
        <v>41</v>
      </c>
      <c r="L25" s="142"/>
      <c r="M25" s="573">
        <f>C15</f>
        <v>0.98</v>
      </c>
      <c r="N25" s="186"/>
      <c r="O25" s="184">
        <f>O24/M25-0.02</f>
        <v>240.10628445152858</v>
      </c>
    </row>
    <row r="26" spans="1:16">
      <c r="A26" s="148"/>
      <c r="B26" s="148"/>
      <c r="C26" s="169"/>
      <c r="H26" s="59"/>
      <c r="I26" s="90"/>
      <c r="N26" s="576"/>
      <c r="O26" s="90"/>
    </row>
    <row r="27" spans="1:16">
      <c r="A27" s="148"/>
      <c r="B27" s="148"/>
      <c r="C27" s="169"/>
      <c r="I27" s="134"/>
      <c r="N27" s="576"/>
      <c r="O27" s="647"/>
    </row>
    <row r="28" spans="1:16">
      <c r="A28" s="148"/>
      <c r="B28" s="148"/>
      <c r="C28" s="169"/>
      <c r="E28" s="108"/>
      <c r="H28" s="578"/>
      <c r="I28" s="575"/>
      <c r="K28" s="108"/>
      <c r="N28" s="577"/>
      <c r="O28" s="575"/>
      <c r="P28" s="84"/>
    </row>
    <row r="29" spans="1:16">
      <c r="A29" s="326"/>
      <c r="B29" s="148"/>
      <c r="C29" s="169"/>
      <c r="H29" s="578"/>
      <c r="I29" s="646"/>
      <c r="N29" s="577"/>
      <c r="P29" s="84"/>
    </row>
    <row r="30" spans="1:16">
      <c r="A30" s="326"/>
      <c r="B30" s="148"/>
      <c r="C30" s="169"/>
      <c r="H30" s="59"/>
    </row>
    <row r="31" spans="1:16">
      <c r="A31" s="326"/>
      <c r="B31" s="148"/>
      <c r="C31" s="139"/>
    </row>
    <row r="32" spans="1:16">
      <c r="A32" s="326"/>
      <c r="B32" s="148"/>
      <c r="C32" s="139"/>
      <c r="G32" s="454"/>
      <c r="H32" s="454"/>
      <c r="I32" s="135"/>
      <c r="J32" s="185"/>
      <c r="O32" s="136"/>
    </row>
    <row r="33" spans="1:15">
      <c r="A33" s="148"/>
      <c r="B33" s="148"/>
      <c r="C33" s="188"/>
      <c r="G33" s="453"/>
      <c r="H33" s="131"/>
      <c r="I33" s="452"/>
      <c r="J33" s="185"/>
      <c r="O33" s="136"/>
    </row>
    <row r="34" spans="1:15">
      <c r="A34" s="148"/>
      <c r="B34" s="148"/>
      <c r="C34" s="139"/>
      <c r="F34" s="555"/>
      <c r="J34" s="185"/>
      <c r="O34" s="137"/>
    </row>
    <row r="35" spans="1:15">
      <c r="A35" s="745"/>
      <c r="B35" s="745"/>
      <c r="C35" s="139"/>
      <c r="F35" s="138"/>
      <c r="J35" s="187"/>
      <c r="O35" s="137"/>
    </row>
    <row r="36" spans="1:15">
      <c r="A36" s="326"/>
      <c r="B36" s="326"/>
      <c r="C36" s="139"/>
      <c r="F36" s="549"/>
      <c r="J36" s="185"/>
      <c r="O36" s="137"/>
    </row>
    <row r="37" spans="1:15">
      <c r="A37" s="326"/>
      <c r="B37" s="326"/>
      <c r="C37" s="139"/>
      <c r="J37" s="185"/>
    </row>
    <row r="38" spans="1:15" ht="18" customHeight="1">
      <c r="J38" s="185"/>
    </row>
    <row r="39" spans="1:15" ht="18" customHeight="1">
      <c r="A39" s="132"/>
      <c r="B39" s="132"/>
      <c r="C39" s="132"/>
      <c r="J39" s="185"/>
    </row>
    <row r="40" spans="1:15">
      <c r="B40" s="66"/>
      <c r="C40" s="66"/>
      <c r="J40" s="185"/>
    </row>
    <row r="41" spans="1:15">
      <c r="B41" s="66"/>
      <c r="C41" s="66"/>
      <c r="J41" s="185"/>
    </row>
    <row r="42" spans="1:15">
      <c r="B42" s="66"/>
      <c r="C42" s="66"/>
      <c r="J42" s="185"/>
    </row>
    <row r="43" spans="1:15">
      <c r="B43" s="66"/>
      <c r="C43" s="66"/>
      <c r="J43" s="185"/>
    </row>
    <row r="44" spans="1:15" ht="19.350000000000001" customHeight="1">
      <c r="B44" s="191"/>
      <c r="C44" s="66"/>
      <c r="J44" s="185"/>
    </row>
    <row r="45" spans="1:15">
      <c r="C45" s="190"/>
      <c r="J45" s="185"/>
    </row>
    <row r="46" spans="1:15">
      <c r="J46" s="189"/>
    </row>
    <row r="47" spans="1:15">
      <c r="J47" s="185"/>
    </row>
    <row r="48" spans="1:15">
      <c r="J48" s="185"/>
    </row>
    <row r="49" spans="10:10">
      <c r="J49" s="185"/>
    </row>
    <row r="63" spans="10:10" ht="18" customHeight="1"/>
  </sheetData>
  <mergeCells count="12">
    <mergeCell ref="A2:C2"/>
    <mergeCell ref="E2:I2"/>
    <mergeCell ref="K2:O2"/>
    <mergeCell ref="K5:L5"/>
    <mergeCell ref="E5:F5"/>
    <mergeCell ref="A35:B35"/>
    <mergeCell ref="E6:F6"/>
    <mergeCell ref="E7:F7"/>
    <mergeCell ref="E8:F8"/>
    <mergeCell ref="K7:L7"/>
    <mergeCell ref="K6:L6"/>
    <mergeCell ref="K8:L8"/>
  </mergeCells>
  <pageMargins left="0.7" right="0.7" top="0.75" bottom="0.75" header="0.3" footer="0.3"/>
  <pageSetup scale="72" orientation="landscape" r:id="rId1"/>
  <ignoredErrors>
    <ignoredError sqref="I22 O22 H15 E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1"/>
  <sheetViews>
    <sheetView zoomScale="85" zoomScaleNormal="85" workbookViewId="0">
      <selection activeCell="G30" sqref="G30:W33"/>
    </sheetView>
  </sheetViews>
  <sheetFormatPr defaultColWidth="8.85546875" defaultRowHeight="15"/>
  <cols>
    <col min="1" max="1" width="36.5703125" style="59" customWidth="1"/>
    <col min="2" max="2" width="32.140625" style="59" customWidth="1"/>
    <col min="3" max="3" width="15.42578125" style="66" customWidth="1"/>
    <col min="4" max="4" width="10" style="59" customWidth="1"/>
    <col min="5" max="5" width="25.85546875" style="59" customWidth="1"/>
    <col min="6" max="6" width="5.85546875" style="66" customWidth="1"/>
    <col min="7" max="7" width="12.5703125" style="66" customWidth="1"/>
    <col min="8" max="8" width="11.140625" style="66" customWidth="1"/>
    <col min="9" max="9" width="12.42578125" style="59" bestFit="1" customWidth="1"/>
    <col min="10" max="10" width="2.85546875" style="59" customWidth="1"/>
    <col min="11" max="11" width="24.5703125" style="59" customWidth="1"/>
    <col min="12" max="12" width="11" style="66" customWidth="1"/>
    <col min="13" max="14" width="11.5703125" style="66" customWidth="1"/>
    <col min="15" max="15" width="12.140625" style="59" customWidth="1"/>
    <col min="16" max="16" width="4.140625" style="59" customWidth="1"/>
    <col min="17" max="17" width="27.42578125" style="59" customWidth="1"/>
    <col min="18" max="18" width="9.5703125" style="66" customWidth="1"/>
    <col min="19" max="20" width="11.5703125" style="66" customWidth="1"/>
    <col min="21" max="21" width="11.5703125" style="59" customWidth="1"/>
    <col min="22" max="22" width="12.5703125" style="59" customWidth="1"/>
    <col min="23" max="24" width="9.140625" style="59" customWidth="1"/>
    <col min="25" max="16384" width="8.85546875" style="59"/>
  </cols>
  <sheetData>
    <row r="1" spans="1:21" ht="15.75" thickBot="1"/>
    <row r="2" spans="1:21" ht="16.5" thickBot="1">
      <c r="A2" s="752" t="s">
        <v>281</v>
      </c>
      <c r="B2" s="753"/>
      <c r="C2" s="754"/>
      <c r="E2" s="763" t="s">
        <v>53</v>
      </c>
      <c r="F2" s="764"/>
      <c r="G2" s="764"/>
      <c r="H2" s="764"/>
      <c r="I2" s="765"/>
      <c r="K2" s="763" t="s">
        <v>53</v>
      </c>
      <c r="L2" s="764"/>
      <c r="M2" s="764"/>
      <c r="N2" s="764"/>
      <c r="O2" s="765"/>
      <c r="Q2" s="766" t="s">
        <v>54</v>
      </c>
      <c r="R2" s="767"/>
      <c r="S2" s="767"/>
      <c r="T2" s="767"/>
      <c r="U2" s="768"/>
    </row>
    <row r="3" spans="1:21" ht="16.5" thickBot="1">
      <c r="A3" s="91"/>
      <c r="B3" s="81"/>
      <c r="C3" s="446"/>
      <c r="E3" s="769" t="s">
        <v>0</v>
      </c>
      <c r="F3" s="770"/>
      <c r="G3" s="770"/>
      <c r="H3" s="770"/>
      <c r="I3" s="771"/>
      <c r="K3" s="772" t="s">
        <v>55</v>
      </c>
      <c r="L3" s="773"/>
      <c r="M3" s="773"/>
      <c r="N3" s="773"/>
      <c r="O3" s="774"/>
      <c r="Q3" s="769" t="s">
        <v>56</v>
      </c>
      <c r="R3" s="770"/>
      <c r="S3" s="770"/>
      <c r="T3" s="770"/>
      <c r="U3" s="771"/>
    </row>
    <row r="4" spans="1:21" ht="15.75">
      <c r="A4" s="415" t="str">
        <f>'4624-Emergency Shelters'!A4</f>
        <v>Specialty Site Supervisor</v>
      </c>
      <c r="B4" s="348" t="s">
        <v>392</v>
      </c>
      <c r="C4" s="574">
        <f>'M2022 BLS SALARY CHART (53_PCT)'!C12</f>
        <v>58616.063999999998</v>
      </c>
      <c r="E4" s="192" t="s">
        <v>20</v>
      </c>
      <c r="F4" s="193" t="s">
        <v>21</v>
      </c>
      <c r="G4" s="194" t="s">
        <v>22</v>
      </c>
      <c r="H4" s="195">
        <v>365</v>
      </c>
      <c r="I4" s="196">
        <v>2920</v>
      </c>
      <c r="K4" s="192" t="s">
        <v>20</v>
      </c>
      <c r="L4" s="193" t="s">
        <v>21</v>
      </c>
      <c r="M4" s="194" t="s">
        <v>22</v>
      </c>
      <c r="N4" s="195">
        <v>365</v>
      </c>
      <c r="O4" s="196">
        <v>2920</v>
      </c>
      <c r="Q4" s="192" t="s">
        <v>20</v>
      </c>
      <c r="R4" s="193" t="s">
        <v>21</v>
      </c>
      <c r="S4" s="194" t="s">
        <v>22</v>
      </c>
      <c r="T4" s="195">
        <v>365</v>
      </c>
      <c r="U4" s="196">
        <v>2920</v>
      </c>
    </row>
    <row r="5" spans="1:21" ht="15.75">
      <c r="A5" s="415" t="s">
        <v>62</v>
      </c>
      <c r="B5" s="348" t="s">
        <v>392</v>
      </c>
      <c r="C5" s="574">
        <f>'M2022 BLS SALARY CHART (53_PCT)'!C8</f>
        <v>53206.566400000003</v>
      </c>
      <c r="E5" s="192"/>
      <c r="F5" s="197">
        <v>8</v>
      </c>
      <c r="G5" s="194"/>
      <c r="H5" s="195"/>
      <c r="I5" s="196"/>
      <c r="K5" s="192"/>
      <c r="L5" s="197">
        <v>8</v>
      </c>
      <c r="M5" s="194"/>
      <c r="N5" s="195"/>
      <c r="O5" s="196"/>
      <c r="Q5" s="192"/>
      <c r="R5" s="197">
        <v>8</v>
      </c>
      <c r="S5" s="194"/>
      <c r="T5" s="195"/>
      <c r="U5" s="196"/>
    </row>
    <row r="6" spans="1:21" ht="30" customHeight="1">
      <c r="A6" s="415" t="s">
        <v>28</v>
      </c>
      <c r="B6" s="348" t="s">
        <v>392</v>
      </c>
      <c r="C6" s="574">
        <f>'M2022 BLS SALARY CHART (53_PCT)'!C6</f>
        <v>41600</v>
      </c>
      <c r="E6" s="198"/>
      <c r="F6" s="199"/>
      <c r="G6" s="200" t="s">
        <v>6</v>
      </c>
      <c r="H6" s="201" t="s">
        <v>26</v>
      </c>
      <c r="I6" s="202" t="s">
        <v>27</v>
      </c>
      <c r="J6" s="75"/>
      <c r="K6" s="198"/>
      <c r="L6" s="199"/>
      <c r="M6" s="200" t="s">
        <v>6</v>
      </c>
      <c r="N6" s="201" t="s">
        <v>26</v>
      </c>
      <c r="O6" s="202" t="s">
        <v>27</v>
      </c>
      <c r="P6" s="75"/>
      <c r="Q6" s="198"/>
      <c r="R6" s="199" t="s">
        <v>24</v>
      </c>
      <c r="S6" s="200" t="s">
        <v>6</v>
      </c>
      <c r="T6" s="201" t="s">
        <v>26</v>
      </c>
      <c r="U6" s="202" t="s">
        <v>27</v>
      </c>
    </row>
    <row r="7" spans="1:21" ht="15.75">
      <c r="A7" s="415" t="s">
        <v>280</v>
      </c>
      <c r="B7" s="348" t="s">
        <v>392</v>
      </c>
      <c r="C7" s="574">
        <f>C6</f>
        <v>41600</v>
      </c>
      <c r="E7" s="203" t="str">
        <f>A4</f>
        <v>Specialty Site Supervisor</v>
      </c>
      <c r="F7" s="419"/>
      <c r="G7" s="205">
        <f>C4</f>
        <v>58616.063999999998</v>
      </c>
      <c r="H7" s="206">
        <v>0.5</v>
      </c>
      <c r="I7" s="207">
        <f>G7*H7</f>
        <v>29308.031999999999</v>
      </c>
      <c r="K7" s="203" t="str">
        <f>E7</f>
        <v>Specialty Site Supervisor</v>
      </c>
      <c r="L7" s="204"/>
      <c r="M7" s="205">
        <f>G7</f>
        <v>58616.063999999998</v>
      </c>
      <c r="N7" s="206">
        <v>0.4975</v>
      </c>
      <c r="O7" s="207">
        <f>M7*N7</f>
        <v>29161.491839999999</v>
      </c>
      <c r="Q7" s="203" t="str">
        <f>K7</f>
        <v>Specialty Site Supervisor</v>
      </c>
      <c r="R7" s="419"/>
      <c r="S7" s="205">
        <f>M7</f>
        <v>58616.063999999998</v>
      </c>
      <c r="T7" s="206">
        <v>0.19750000000000001</v>
      </c>
      <c r="U7" s="207">
        <f>S7*T7</f>
        <v>11576.672640000001</v>
      </c>
    </row>
    <row r="8" spans="1:21" ht="15.75">
      <c r="A8" s="77" t="s">
        <v>33</v>
      </c>
      <c r="B8" s="79"/>
      <c r="C8" s="47"/>
      <c r="E8" s="208" t="str">
        <f>A5</f>
        <v>Direct Care III</v>
      </c>
      <c r="F8" s="419"/>
      <c r="G8" s="205">
        <f>C5</f>
        <v>53206.566400000003</v>
      </c>
      <c r="H8" s="206">
        <v>2.2149999999999999</v>
      </c>
      <c r="I8" s="207">
        <f t="shared" ref="I8:I9" si="0">G8*H8</f>
        <v>117852.544576</v>
      </c>
      <c r="K8" s="203" t="str">
        <f t="shared" ref="K8:K9" si="1">E8</f>
        <v>Direct Care III</v>
      </c>
      <c r="L8" s="204"/>
      <c r="M8" s="205">
        <f t="shared" ref="M8:M9" si="2">G8</f>
        <v>53206.566400000003</v>
      </c>
      <c r="N8" s="206">
        <v>2.2174999999999998</v>
      </c>
      <c r="O8" s="207">
        <f t="shared" ref="O8:O9" si="3">M8*N8</f>
        <v>117985.560992</v>
      </c>
      <c r="Q8" s="203" t="str">
        <f t="shared" ref="Q8:Q9" si="4">K8</f>
        <v>Direct Care III</v>
      </c>
      <c r="R8" s="420"/>
      <c r="S8" s="205">
        <f t="shared" ref="S8:S9" si="5">M8</f>
        <v>53206.566400000003</v>
      </c>
      <c r="T8" s="206">
        <v>0.69750000000000001</v>
      </c>
      <c r="U8" s="207">
        <f t="shared" ref="U8:U9" si="6">S8*T8</f>
        <v>37111.580064000002</v>
      </c>
    </row>
    <row r="9" spans="1:21" ht="15.75">
      <c r="A9" s="415" t="s">
        <v>12</v>
      </c>
      <c r="B9" s="348" t="s">
        <v>327</v>
      </c>
      <c r="C9" s="447">
        <f>'M2022 BLS SALARY CHART (53_PCT)'!C38</f>
        <v>0.27379999999999999</v>
      </c>
      <c r="E9" s="208" t="str">
        <f>A6</f>
        <v>Direct Care</v>
      </c>
      <c r="F9" s="419"/>
      <c r="G9" s="205">
        <f>C6</f>
        <v>41600</v>
      </c>
      <c r="H9" s="206">
        <v>0.2</v>
      </c>
      <c r="I9" s="207">
        <f t="shared" si="0"/>
        <v>8320</v>
      </c>
      <c r="K9" s="203" t="str">
        <f t="shared" si="1"/>
        <v>Direct Care</v>
      </c>
      <c r="L9" s="204"/>
      <c r="M9" s="205">
        <f t="shared" si="2"/>
        <v>41600</v>
      </c>
      <c r="N9" s="206">
        <v>0.2</v>
      </c>
      <c r="O9" s="207">
        <f t="shared" si="3"/>
        <v>8320</v>
      </c>
      <c r="Q9" s="203" t="str">
        <f t="shared" si="4"/>
        <v>Direct Care</v>
      </c>
      <c r="R9" s="420"/>
      <c r="S9" s="205">
        <f t="shared" si="5"/>
        <v>41600</v>
      </c>
      <c r="T9" s="206">
        <v>1</v>
      </c>
      <c r="U9" s="207">
        <f t="shared" si="6"/>
        <v>41600</v>
      </c>
    </row>
    <row r="10" spans="1:21" ht="15.75">
      <c r="A10" s="415" t="s">
        <v>307</v>
      </c>
      <c r="B10" s="348" t="s">
        <v>414</v>
      </c>
      <c r="C10" s="652">
        <f>'FY22 UFR Data'!Q30</f>
        <v>11.163387084148727</v>
      </c>
      <c r="E10" s="208"/>
      <c r="F10" s="419"/>
      <c r="G10" s="205"/>
      <c r="H10" s="206"/>
      <c r="I10" s="207"/>
      <c r="K10" s="203"/>
      <c r="L10" s="204"/>
      <c r="M10" s="205"/>
      <c r="N10" s="206"/>
      <c r="O10" s="207"/>
      <c r="Q10" s="203"/>
      <c r="R10" s="420"/>
      <c r="S10" s="205"/>
      <c r="T10" s="206"/>
      <c r="U10" s="207"/>
    </row>
    <row r="11" spans="1:21" ht="15.75">
      <c r="A11" s="415" t="str">
        <f>'4624-Emergency Shelters'!A11</f>
        <v>Occupancy (per unit) Lower Facility</v>
      </c>
      <c r="B11" s="348" t="s">
        <v>415</v>
      </c>
      <c r="C11" s="652">
        <f>C10*(30%)</f>
        <v>3.349016125244618</v>
      </c>
      <c r="E11" s="209" t="s">
        <v>30</v>
      </c>
      <c r="F11" s="210"/>
      <c r="G11" s="211"/>
      <c r="H11" s="212">
        <f>SUM(H7:H10)</f>
        <v>2.915</v>
      </c>
      <c r="I11" s="213">
        <f>SUM(I7:I10)</f>
        <v>155480.57657599999</v>
      </c>
      <c r="K11" s="209" t="s">
        <v>30</v>
      </c>
      <c r="L11" s="210"/>
      <c r="M11" s="211"/>
      <c r="N11" s="212">
        <f>SUM(N7:N9)</f>
        <v>2.915</v>
      </c>
      <c r="O11" s="213">
        <f>SUM(O7:O9)</f>
        <v>155467.05283199999</v>
      </c>
      <c r="Q11" s="209" t="s">
        <v>30</v>
      </c>
      <c r="R11" s="210"/>
      <c r="S11" s="211"/>
      <c r="T11" s="212">
        <f>SUM(T7:T9)</f>
        <v>1.895</v>
      </c>
      <c r="U11" s="213">
        <f>SUM(U7:U9)</f>
        <v>90288.252703999999</v>
      </c>
    </row>
    <row r="12" spans="1:21" ht="15.75">
      <c r="A12" s="415" t="s">
        <v>321</v>
      </c>
      <c r="B12" s="348" t="s">
        <v>308</v>
      </c>
      <c r="C12" s="652">
        <v>25.67</v>
      </c>
      <c r="E12" s="214"/>
      <c r="F12" s="197"/>
      <c r="G12" s="194"/>
      <c r="H12" s="215"/>
      <c r="I12" s="216"/>
      <c r="K12" s="214"/>
      <c r="L12" s="197"/>
      <c r="M12" s="194"/>
      <c r="N12" s="215"/>
      <c r="O12" s="216"/>
      <c r="Q12" s="214"/>
      <c r="R12" s="197"/>
      <c r="S12" s="194"/>
      <c r="T12" s="215"/>
      <c r="U12" s="216"/>
    </row>
    <row r="13" spans="1:21" ht="15.75">
      <c r="A13" s="415" t="str">
        <f>'4624-Emergency Shelters'!A12</f>
        <v>Staff Training (per  unit)</v>
      </c>
      <c r="B13" s="348" t="s">
        <v>414</v>
      </c>
      <c r="C13" s="653">
        <f>'FY22 UFR Data'!T30</f>
        <v>9.0764383561643819E-2</v>
      </c>
      <c r="E13" s="217" t="s">
        <v>12</v>
      </c>
      <c r="F13" s="218"/>
      <c r="G13" s="219">
        <f>C9</f>
        <v>0.27379999999999999</v>
      </c>
      <c r="H13" s="220"/>
      <c r="I13" s="207">
        <f>G13*I11</f>
        <v>42570.581866508794</v>
      </c>
      <c r="K13" s="217" t="s">
        <v>12</v>
      </c>
      <c r="L13" s="218"/>
      <c r="M13" s="219">
        <f>G13</f>
        <v>0.27379999999999999</v>
      </c>
      <c r="N13" s="220"/>
      <c r="O13" s="207">
        <f>M13*O11</f>
        <v>42566.879065401597</v>
      </c>
      <c r="Q13" s="217" t="s">
        <v>12</v>
      </c>
      <c r="R13" s="218"/>
      <c r="S13" s="219">
        <f>G13</f>
        <v>0.27379999999999999</v>
      </c>
      <c r="T13" s="220"/>
      <c r="U13" s="207">
        <f>S13*U11</f>
        <v>24720.9235903552</v>
      </c>
    </row>
    <row r="14" spans="1:21" ht="16.5" thickBot="1">
      <c r="A14" s="415" t="s">
        <v>277</v>
      </c>
      <c r="B14" s="348" t="s">
        <v>414</v>
      </c>
      <c r="C14" s="653">
        <f>'FY22 UFR Data'!N30</f>
        <v>19.674288062622306</v>
      </c>
      <c r="E14" s="221" t="s">
        <v>32</v>
      </c>
      <c r="F14" s="222"/>
      <c r="G14" s="223"/>
      <c r="H14" s="224"/>
      <c r="I14" s="225">
        <f>SUM(I11:I13)</f>
        <v>198051.15844250878</v>
      </c>
      <c r="K14" s="221" t="s">
        <v>32</v>
      </c>
      <c r="L14" s="222"/>
      <c r="M14" s="223"/>
      <c r="N14" s="224"/>
      <c r="O14" s="225">
        <f>SUM(O11:O13)</f>
        <v>198033.93189740158</v>
      </c>
      <c r="Q14" s="221" t="s">
        <v>32</v>
      </c>
      <c r="R14" s="222"/>
      <c r="S14" s="223"/>
      <c r="T14" s="224"/>
      <c r="U14" s="225">
        <f>SUM(U11:U13)</f>
        <v>115009.1762943552</v>
      </c>
    </row>
    <row r="15" spans="1:21" ht="15.75">
      <c r="A15" s="415" t="s">
        <v>39</v>
      </c>
      <c r="B15" s="348" t="s">
        <v>327</v>
      </c>
      <c r="C15" s="447">
        <f>'M2020 BLS  SALARY CHART'!C44</f>
        <v>0.12</v>
      </c>
      <c r="E15" s="217"/>
      <c r="F15" s="218"/>
      <c r="G15" s="226"/>
      <c r="H15" s="206"/>
      <c r="I15" s="216"/>
      <c r="K15" s="217"/>
      <c r="L15" s="218"/>
      <c r="M15" s="226"/>
      <c r="N15" s="206"/>
      <c r="O15" s="216"/>
      <c r="Q15" s="217"/>
      <c r="R15" s="218"/>
      <c r="S15" s="226"/>
      <c r="T15" s="206"/>
      <c r="U15" s="216"/>
    </row>
    <row r="16" spans="1:21" ht="15.75">
      <c r="A16" s="416" t="s">
        <v>282</v>
      </c>
      <c r="B16" s="352"/>
      <c r="C16" s="448">
        <v>0.98</v>
      </c>
      <c r="E16" s="214" t="s">
        <v>33</v>
      </c>
      <c r="F16" s="197"/>
      <c r="G16" s="194"/>
      <c r="H16" s="195" t="s">
        <v>34</v>
      </c>
      <c r="I16" s="216"/>
      <c r="K16" s="214" t="s">
        <v>33</v>
      </c>
      <c r="L16" s="197"/>
      <c r="M16" s="194"/>
      <c r="N16" s="195" t="s">
        <v>34</v>
      </c>
      <c r="O16" s="216"/>
      <c r="Q16" s="214" t="s">
        <v>33</v>
      </c>
      <c r="R16" s="197"/>
      <c r="S16" s="194"/>
      <c r="T16" s="195" t="s">
        <v>34</v>
      </c>
      <c r="U16" s="216"/>
    </row>
    <row r="17" spans="1:22" ht="15.75">
      <c r="A17" s="416" t="s">
        <v>15</v>
      </c>
      <c r="B17" s="352"/>
      <c r="C17" s="449">
        <f>'Fall CAF 2023'!CR28</f>
        <v>2.5758086673353865E-2</v>
      </c>
      <c r="E17" s="217" t="str">
        <f>A13</f>
        <v>Staff Training (per  unit)</v>
      </c>
      <c r="F17" s="197"/>
      <c r="G17" s="194"/>
      <c r="H17" s="206">
        <f>C13</f>
        <v>9.0764383561643819E-2</v>
      </c>
      <c r="I17" s="207">
        <f>H17*I4</f>
        <v>265.03199999999993</v>
      </c>
      <c r="K17" s="217" t="str">
        <f>E17</f>
        <v>Staff Training (per  unit)</v>
      </c>
      <c r="L17" s="218"/>
      <c r="M17" s="205"/>
      <c r="N17" s="227">
        <f>C13</f>
        <v>9.0764383561643819E-2</v>
      </c>
      <c r="O17" s="207">
        <f>N17*O4</f>
        <v>265.03199999999993</v>
      </c>
      <c r="Q17" s="217" t="str">
        <f>K17</f>
        <v>Staff Training (per  unit)</v>
      </c>
      <c r="R17" s="197"/>
      <c r="S17" s="194"/>
      <c r="T17" s="227">
        <f>N17</f>
        <v>9.0764383561643819E-2</v>
      </c>
      <c r="U17" s="207">
        <f>T17*U4</f>
        <v>265.03199999999993</v>
      </c>
    </row>
    <row r="18" spans="1:22" ht="15.75" thickBot="1">
      <c r="A18" s="67" t="s">
        <v>393</v>
      </c>
      <c r="C18" s="450"/>
      <c r="E18" s="217" t="str">
        <f>A14</f>
        <v xml:space="preserve">All other expenses </v>
      </c>
      <c r="F18" s="197"/>
      <c r="G18" s="194"/>
      <c r="H18" s="227">
        <f>C14</f>
        <v>19.674288062622306</v>
      </c>
      <c r="I18" s="207">
        <f>H18*I4</f>
        <v>57448.921142857136</v>
      </c>
      <c r="K18" s="217" t="str">
        <f>E18</f>
        <v xml:space="preserve">All other expenses </v>
      </c>
      <c r="L18" s="218"/>
      <c r="M18" s="226"/>
      <c r="N18" s="227">
        <f>C14</f>
        <v>19.674288062622306</v>
      </c>
      <c r="O18" s="207">
        <f>O4*N18</f>
        <v>57448.921142857136</v>
      </c>
      <c r="Q18" s="217" t="str">
        <f>K18</f>
        <v xml:space="preserve">All other expenses </v>
      </c>
      <c r="R18" s="218"/>
      <c r="S18" s="226"/>
      <c r="T18" s="227">
        <f>N18</f>
        <v>19.674288062622306</v>
      </c>
      <c r="U18" s="207">
        <f>$U$4*T18</f>
        <v>57448.921142857136</v>
      </c>
    </row>
    <row r="19" spans="1:22" ht="15.75">
      <c r="A19" s="117" t="s">
        <v>44</v>
      </c>
      <c r="B19" s="118" t="s">
        <v>45</v>
      </c>
      <c r="C19" s="119" t="s">
        <v>46</v>
      </c>
      <c r="E19" s="217" t="str">
        <f>A10</f>
        <v>Occupancy (Per unit)</v>
      </c>
      <c r="F19" s="218"/>
      <c r="G19" s="226"/>
      <c r="H19" s="227">
        <f>C10</f>
        <v>11.163387084148727</v>
      </c>
      <c r="I19" s="207">
        <f>H19*I4</f>
        <v>32597.090285714283</v>
      </c>
      <c r="K19" s="217" t="str">
        <f>A11</f>
        <v>Occupancy (per unit) Lower Facility</v>
      </c>
      <c r="L19" s="218"/>
      <c r="M19" s="226"/>
      <c r="N19" s="227">
        <f>C11</f>
        <v>3.349016125244618</v>
      </c>
      <c r="O19" s="207">
        <f>O4*N19</f>
        <v>9779.1270857142845</v>
      </c>
      <c r="Q19" s="217" t="str">
        <f>A12</f>
        <v>Occupancy (office space per sq ft)</v>
      </c>
      <c r="R19" s="218"/>
      <c r="S19" s="226"/>
      <c r="T19" s="227">
        <f>C12</f>
        <v>25.67</v>
      </c>
      <c r="U19" s="207">
        <f>T19*Sheet1!G10</f>
        <v>4512.786000000001</v>
      </c>
    </row>
    <row r="20" spans="1:22" ht="15.75">
      <c r="A20" s="120" t="s">
        <v>47</v>
      </c>
      <c r="B20" s="121">
        <v>15</v>
      </c>
      <c r="C20" s="47">
        <f>B20*8</f>
        <v>120</v>
      </c>
      <c r="E20" s="217" t="str">
        <f>'4624-Emergency Shelters'!E17</f>
        <v>Additional Program Expenses (per unit)</v>
      </c>
      <c r="F20" s="218"/>
      <c r="G20" s="226"/>
      <c r="H20" s="227">
        <v>7.0149999999999997</v>
      </c>
      <c r="I20" s="207">
        <f>H20*I4</f>
        <v>20483.8</v>
      </c>
      <c r="K20" s="217" t="str">
        <f>E20</f>
        <v>Additional Program Expenses (per unit)</v>
      </c>
      <c r="L20" s="218"/>
      <c r="M20" s="226"/>
      <c r="N20" s="227">
        <v>5.0149999999999997</v>
      </c>
      <c r="O20" s="207">
        <f>N20*O4</f>
        <v>14643.8</v>
      </c>
      <c r="Q20" s="217" t="str">
        <f>K20</f>
        <v>Additional Program Expenses (per unit)</v>
      </c>
      <c r="R20" s="218"/>
      <c r="S20" s="226"/>
      <c r="T20" s="227">
        <v>3.0150000000000001</v>
      </c>
      <c r="U20" s="207">
        <f>T20*U4</f>
        <v>8803.8000000000011</v>
      </c>
    </row>
    <row r="21" spans="1:22" ht="15.75">
      <c r="A21" s="120" t="s">
        <v>48</v>
      </c>
      <c r="B21" s="121">
        <v>8</v>
      </c>
      <c r="C21" s="47">
        <f t="shared" ref="C21:C23" si="7">B21*8</f>
        <v>64</v>
      </c>
      <c r="E21" s="217"/>
      <c r="F21" s="218"/>
      <c r="G21" s="226"/>
      <c r="H21" s="215"/>
      <c r="I21" s="228">
        <f>SUM(I17:I20)</f>
        <v>110794.84342857142</v>
      </c>
      <c r="K21" s="217"/>
      <c r="L21" s="218"/>
      <c r="M21" s="226"/>
      <c r="N21" s="215"/>
      <c r="O21" s="228">
        <f>SUM(O17:O20)</f>
        <v>82136.880228571419</v>
      </c>
      <c r="Q21" s="217"/>
      <c r="R21" s="218"/>
      <c r="S21" s="226"/>
      <c r="T21" s="215"/>
      <c r="U21" s="228">
        <f>SUM(U17:U20)</f>
        <v>71030.539142857131</v>
      </c>
    </row>
    <row r="22" spans="1:22" ht="15.75">
      <c r="A22" s="120" t="s">
        <v>49</v>
      </c>
      <c r="B22" s="121">
        <v>11</v>
      </c>
      <c r="C22" s="47">
        <f t="shared" si="7"/>
        <v>88</v>
      </c>
      <c r="E22" s="217"/>
      <c r="F22" s="218"/>
      <c r="G22" s="226"/>
      <c r="H22" s="230"/>
      <c r="I22" s="207"/>
      <c r="K22" s="217"/>
      <c r="L22" s="218"/>
      <c r="M22" s="226"/>
      <c r="N22" s="230"/>
      <c r="O22" s="207"/>
      <c r="Q22" s="217"/>
      <c r="R22" s="218"/>
      <c r="S22" s="226"/>
      <c r="T22" s="230"/>
      <c r="U22" s="207"/>
    </row>
    <row r="23" spans="1:22" ht="16.5" thickBot="1">
      <c r="A23" s="122" t="s">
        <v>50</v>
      </c>
      <c r="B23" s="123">
        <v>4.4000000000000004</v>
      </c>
      <c r="C23" s="124">
        <f t="shared" si="7"/>
        <v>35.200000000000003</v>
      </c>
      <c r="E23" s="221" t="s">
        <v>38</v>
      </c>
      <c r="F23" s="231"/>
      <c r="G23" s="232"/>
      <c r="H23" s="233"/>
      <c r="I23" s="225">
        <f>I14+I21</f>
        <v>308846.0018710802</v>
      </c>
      <c r="K23" s="221" t="s">
        <v>38</v>
      </c>
      <c r="L23" s="231"/>
      <c r="M23" s="232"/>
      <c r="N23" s="233"/>
      <c r="O23" s="225">
        <f>O14+O21</f>
        <v>280170.812125973</v>
      </c>
      <c r="Q23" s="221" t="s">
        <v>38</v>
      </c>
      <c r="R23" s="231"/>
      <c r="S23" s="232"/>
      <c r="T23" s="233"/>
      <c r="U23" s="225">
        <f>U14+U21</f>
        <v>186039.71543721232</v>
      </c>
    </row>
    <row r="24" spans="1:22" ht="15.75">
      <c r="A24" s="120"/>
      <c r="B24" s="125" t="s">
        <v>51</v>
      </c>
      <c r="C24" s="47">
        <f>SUM(C20:C23)</f>
        <v>307.2</v>
      </c>
      <c r="E24" s="214"/>
      <c r="F24" s="197"/>
      <c r="G24" s="234"/>
      <c r="H24" s="215"/>
      <c r="I24" s="216"/>
      <c r="K24" s="214"/>
      <c r="L24" s="197"/>
      <c r="M24" s="234"/>
      <c r="N24" s="215"/>
      <c r="O24" s="216"/>
      <c r="Q24" s="214"/>
      <c r="R24" s="197"/>
      <c r="S24" s="234"/>
      <c r="T24" s="215"/>
      <c r="U24" s="216"/>
    </row>
    <row r="25" spans="1:22" ht="16.5" thickBot="1">
      <c r="A25" s="126"/>
      <c r="B25" s="127" t="s">
        <v>52</v>
      </c>
      <c r="C25" s="128">
        <f>C24/(52*40)</f>
        <v>0.14769230769230768</v>
      </c>
      <c r="E25" s="217" t="s">
        <v>39</v>
      </c>
      <c r="F25" s="218"/>
      <c r="G25" s="219">
        <f>C15</f>
        <v>0.12</v>
      </c>
      <c r="H25" s="206"/>
      <c r="I25" s="207">
        <f>I23*G25</f>
        <v>37061.520224529624</v>
      </c>
      <c r="K25" s="217" t="s">
        <v>39</v>
      </c>
      <c r="L25" s="218"/>
      <c r="M25" s="219">
        <f>G25</f>
        <v>0.12</v>
      </c>
      <c r="N25" s="206"/>
      <c r="O25" s="207">
        <f>O23*M25</f>
        <v>33620.497455116762</v>
      </c>
      <c r="Q25" s="217" t="s">
        <v>39</v>
      </c>
      <c r="R25" s="218"/>
      <c r="S25" s="219">
        <f>M25</f>
        <v>0.12</v>
      </c>
      <c r="T25" s="206"/>
      <c r="U25" s="207">
        <f>U23*S25</f>
        <v>22324.765852465476</v>
      </c>
    </row>
    <row r="26" spans="1:22" ht="16.5" thickBot="1">
      <c r="A26" s="451"/>
      <c r="B26" s="451"/>
      <c r="C26" s="129"/>
      <c r="E26" s="221" t="s">
        <v>40</v>
      </c>
      <c r="F26" s="231"/>
      <c r="G26" s="235"/>
      <c r="H26" s="233"/>
      <c r="I26" s="236">
        <f>SUM(I23:I25)</f>
        <v>345907.52209560981</v>
      </c>
      <c r="K26" s="221" t="s">
        <v>40</v>
      </c>
      <c r="L26" s="231"/>
      <c r="M26" s="235"/>
      <c r="N26" s="233"/>
      <c r="O26" s="237">
        <f>SUM(O23:O25)</f>
        <v>313791.30958108976</v>
      </c>
      <c r="Q26" s="221" t="s">
        <v>40</v>
      </c>
      <c r="R26" s="231"/>
      <c r="S26" s="235"/>
      <c r="T26" s="233"/>
      <c r="U26" s="237">
        <f>SUM(U23:U25)</f>
        <v>208364.48128967779</v>
      </c>
    </row>
    <row r="27" spans="1:22">
      <c r="A27" s="148"/>
      <c r="C27" s="229"/>
      <c r="E27" s="80" t="s">
        <v>15</v>
      </c>
      <c r="F27" s="197"/>
      <c r="G27" s="238">
        <f>C17</f>
        <v>2.5758086673353865E-2</v>
      </c>
      <c r="H27" s="215"/>
      <c r="I27" s="207">
        <f>I23*G27</f>
        <v>7955.2820849140935</v>
      </c>
      <c r="K27" s="80" t="s">
        <v>15</v>
      </c>
      <c r="L27" s="240"/>
      <c r="M27" s="238">
        <f>G27</f>
        <v>2.5758086673353865E-2</v>
      </c>
      <c r="N27" s="241"/>
      <c r="O27" s="239">
        <f>O23*M27</f>
        <v>7216.6640620847547</v>
      </c>
      <c r="Q27" s="80" t="s">
        <v>15</v>
      </c>
      <c r="R27" s="242"/>
      <c r="S27" s="243">
        <f>G27</f>
        <v>2.5758086673353865E-2</v>
      </c>
      <c r="T27" s="244"/>
      <c r="U27" s="239">
        <f>S27*U23</f>
        <v>4792.0271149178043</v>
      </c>
    </row>
    <row r="28" spans="1:22">
      <c r="A28" s="148"/>
      <c r="C28" s="229"/>
      <c r="E28" s="556"/>
      <c r="F28" s="557"/>
      <c r="G28" s="559"/>
      <c r="H28" s="215"/>
      <c r="I28" s="216">
        <f>I26+I25</f>
        <v>382969.04232013942</v>
      </c>
      <c r="K28" s="556"/>
      <c r="L28" s="557"/>
      <c r="M28" s="559"/>
      <c r="N28" s="215"/>
      <c r="O28" s="216">
        <f>O26+O27</f>
        <v>321007.97364317451</v>
      </c>
      <c r="Q28" s="556"/>
      <c r="R28" s="561"/>
      <c r="S28" s="562"/>
      <c r="T28" s="242"/>
      <c r="U28" s="216">
        <f>U27+U26</f>
        <v>213156.5084045956</v>
      </c>
      <c r="V28" s="84"/>
    </row>
    <row r="29" spans="1:22" ht="15.75" thickBot="1">
      <c r="A29" s="148"/>
      <c r="C29" s="229"/>
      <c r="E29" s="85" t="s">
        <v>57</v>
      </c>
      <c r="F29" s="245"/>
      <c r="G29" s="246"/>
      <c r="H29" s="246"/>
      <c r="I29" s="247">
        <f>I28/I4</f>
        <v>131.1537816164861</v>
      </c>
      <c r="K29" s="85" t="s">
        <v>57</v>
      </c>
      <c r="L29" s="245"/>
      <c r="M29" s="246"/>
      <c r="N29" s="246"/>
      <c r="O29" s="247">
        <f>O28/O4</f>
        <v>109.93423754903236</v>
      </c>
      <c r="Q29" s="85" t="s">
        <v>57</v>
      </c>
      <c r="R29" s="53"/>
      <c r="S29" s="86"/>
      <c r="T29" s="53"/>
      <c r="U29" s="247">
        <f>U28/U4</f>
        <v>72.998804248149185</v>
      </c>
      <c r="V29" s="84"/>
    </row>
    <row r="30" spans="1:22">
      <c r="A30" s="148"/>
      <c r="C30" s="229"/>
      <c r="E30" s="248"/>
      <c r="I30" s="87"/>
      <c r="O30" s="87"/>
      <c r="U30" s="87"/>
      <c r="V30" s="84"/>
    </row>
    <row r="31" spans="1:22">
      <c r="A31" s="148"/>
      <c r="C31" s="169"/>
      <c r="E31" s="248"/>
      <c r="H31" s="148"/>
      <c r="I31" s="87"/>
      <c r="J31" s="76"/>
      <c r="N31" s="148"/>
      <c r="O31" s="87"/>
      <c r="P31" s="76"/>
      <c r="T31" s="148"/>
      <c r="U31" s="87"/>
    </row>
    <row r="32" spans="1:22">
      <c r="A32" s="148"/>
      <c r="C32" s="229"/>
      <c r="E32" s="248"/>
      <c r="I32" s="88"/>
      <c r="O32" s="88"/>
      <c r="U32" s="88"/>
    </row>
    <row r="33" spans="1:20">
      <c r="A33" s="326"/>
      <c r="C33" s="229"/>
      <c r="E33" s="248"/>
    </row>
    <row r="34" spans="1:20">
      <c r="A34" s="326"/>
      <c r="B34" s="148"/>
      <c r="C34" s="229"/>
    </row>
    <row r="35" spans="1:20">
      <c r="A35" s="326"/>
      <c r="B35" s="148"/>
      <c r="C35" s="139"/>
      <c r="R35" s="131"/>
    </row>
    <row r="36" spans="1:20">
      <c r="A36" s="326"/>
      <c r="B36" s="148"/>
      <c r="C36" s="139"/>
      <c r="L36" s="59"/>
      <c r="M36" s="59"/>
      <c r="O36" s="66"/>
      <c r="R36" s="59"/>
      <c r="S36" s="59"/>
      <c r="T36" s="59"/>
    </row>
    <row r="37" spans="1:20">
      <c r="A37" s="148"/>
      <c r="B37" s="148"/>
      <c r="C37" s="139"/>
      <c r="K37" s="89"/>
      <c r="L37" s="90"/>
      <c r="M37" s="59"/>
      <c r="N37" s="59"/>
      <c r="R37" s="59"/>
      <c r="S37" s="59"/>
      <c r="T37" s="59"/>
    </row>
    <row r="38" spans="1:20">
      <c r="A38" s="148"/>
      <c r="B38" s="148"/>
      <c r="C38" s="188"/>
      <c r="K38" s="89"/>
      <c r="L38" s="90"/>
      <c r="M38" s="59"/>
      <c r="N38" s="59"/>
    </row>
    <row r="39" spans="1:20">
      <c r="A39" s="745"/>
      <c r="B39" s="745"/>
      <c r="C39" s="139"/>
    </row>
    <row r="40" spans="1:20">
      <c r="A40" s="745"/>
      <c r="B40" s="745"/>
      <c r="C40" s="139"/>
      <c r="P40" s="66"/>
    </row>
    <row r="41" spans="1:20">
      <c r="C41" s="68"/>
    </row>
  </sheetData>
  <mergeCells count="9">
    <mergeCell ref="A40:B40"/>
    <mergeCell ref="A2:C2"/>
    <mergeCell ref="E2:I2"/>
    <mergeCell ref="K2:O2"/>
    <mergeCell ref="Q2:U2"/>
    <mergeCell ref="E3:I3"/>
    <mergeCell ref="K3:O3"/>
    <mergeCell ref="Q3:U3"/>
    <mergeCell ref="A39:B39"/>
  </mergeCells>
  <pageMargins left="0.25" right="0.25" top="0.75" bottom="0.75" header="0.3" footer="0.3"/>
  <pageSetup scale="57"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89"/>
  <sheetViews>
    <sheetView tabSelected="1" zoomScale="85" zoomScaleNormal="85" workbookViewId="0">
      <selection activeCell="X31" sqref="X31"/>
    </sheetView>
  </sheetViews>
  <sheetFormatPr defaultColWidth="9.140625" defaultRowHeight="15"/>
  <cols>
    <col min="1" max="1" width="39.85546875" style="59" customWidth="1"/>
    <col min="2" max="2" width="28.5703125" style="59" customWidth="1"/>
    <col min="3" max="3" width="19.5703125" style="66" customWidth="1"/>
    <col min="4" max="4" width="6" style="66" hidden="1" customWidth="1"/>
    <col min="5" max="5" width="8" style="59" customWidth="1"/>
    <col min="6" max="6" width="31" style="59" customWidth="1"/>
    <col min="7" max="7" width="11.5703125" style="66" customWidth="1"/>
    <col min="8" max="8" width="11.5703125" style="59" customWidth="1"/>
    <col min="9" max="9" width="12.5703125" style="66" customWidth="1"/>
    <col min="10" max="10" width="11.42578125" style="59" bestFit="1" customWidth="1"/>
    <col min="11" max="11" width="3.42578125" style="59" customWidth="1"/>
    <col min="12" max="12" width="24.140625" style="59" hidden="1" customWidth="1"/>
    <col min="13" max="13" width="17.42578125" style="66" hidden="1" customWidth="1"/>
    <col min="14" max="15" width="11.5703125" style="66" hidden="1" customWidth="1"/>
    <col min="16" max="16" width="12.42578125" style="59" hidden="1" customWidth="1"/>
    <col min="17" max="18" width="0" style="59" hidden="1" customWidth="1"/>
    <col min="19" max="16384" width="9.140625" style="59"/>
  </cols>
  <sheetData>
    <row r="1" spans="1:19" ht="15.75" thickBot="1"/>
    <row r="2" spans="1:19" ht="18" customHeight="1" thickBot="1">
      <c r="A2" s="752" t="s">
        <v>58</v>
      </c>
      <c r="B2" s="753"/>
      <c r="C2" s="753"/>
      <c r="D2" s="754"/>
      <c r="F2" s="775" t="s">
        <v>59</v>
      </c>
      <c r="G2" s="776"/>
      <c r="H2" s="776"/>
      <c r="I2" s="776"/>
      <c r="J2" s="777"/>
      <c r="L2" s="778" t="s">
        <v>60</v>
      </c>
      <c r="M2" s="779"/>
      <c r="N2" s="779"/>
      <c r="O2" s="779"/>
      <c r="P2" s="780"/>
    </row>
    <row r="3" spans="1:19" ht="18" customHeight="1">
      <c r="A3" s="91"/>
      <c r="B3" s="81"/>
      <c r="C3" s="82" t="s">
        <v>273</v>
      </c>
      <c r="D3" s="83" t="s">
        <v>19</v>
      </c>
      <c r="F3" s="31" t="s">
        <v>20</v>
      </c>
      <c r="G3" s="74" t="s">
        <v>21</v>
      </c>
      <c r="H3" s="32" t="s">
        <v>22</v>
      </c>
      <c r="I3" s="44">
        <v>365</v>
      </c>
      <c r="J3" s="33">
        <v>2920</v>
      </c>
      <c r="L3" s="353" t="s">
        <v>20</v>
      </c>
      <c r="M3" s="354" t="s">
        <v>21</v>
      </c>
      <c r="N3" s="355" t="s">
        <v>22</v>
      </c>
      <c r="O3" s="356">
        <v>365</v>
      </c>
      <c r="P3" s="357">
        <v>2920</v>
      </c>
    </row>
    <row r="4" spans="1:19" ht="15.75">
      <c r="A4" s="415" t="s">
        <v>323</v>
      </c>
      <c r="B4" s="348" t="s">
        <v>392</v>
      </c>
      <c r="C4" s="349">
        <f>'M2022 BLS SALARY CHART (53_PCT)'!C18</f>
        <v>80606.448000000004</v>
      </c>
      <c r="D4" s="98"/>
      <c r="F4" s="31"/>
      <c r="G4" s="39">
        <v>8</v>
      </c>
      <c r="H4" s="32"/>
      <c r="I4" s="44"/>
      <c r="J4" s="33"/>
      <c r="L4" s="353"/>
      <c r="M4" s="358">
        <v>8</v>
      </c>
      <c r="N4" s="355"/>
      <c r="O4" s="356"/>
      <c r="P4" s="357"/>
    </row>
    <row r="5" spans="1:19" ht="15.75">
      <c r="A5" s="415" t="str">
        <f>'4625 - Residential Housing Stab'!A4</f>
        <v>Specialty Site Supervisor</v>
      </c>
      <c r="B5" s="348" t="s">
        <v>392</v>
      </c>
      <c r="C5" s="349">
        <f>'M2022 BLS SALARY CHART (53_PCT)'!C16</f>
        <v>65676.416000000012</v>
      </c>
      <c r="D5" s="98"/>
      <c r="F5" s="92"/>
      <c r="G5" s="93"/>
      <c r="H5" s="94" t="s">
        <v>25</v>
      </c>
      <c r="I5" s="95" t="s">
        <v>26</v>
      </c>
      <c r="J5" s="96" t="s">
        <v>27</v>
      </c>
      <c r="L5" s="359"/>
      <c r="M5" s="360"/>
      <c r="N5" s="361" t="s">
        <v>25</v>
      </c>
      <c r="O5" s="362" t="s">
        <v>26</v>
      </c>
      <c r="P5" s="363" t="s">
        <v>27</v>
      </c>
    </row>
    <row r="6" spans="1:19" ht="15.75">
      <c r="A6" s="415" t="s">
        <v>275</v>
      </c>
      <c r="B6" s="348" t="s">
        <v>392</v>
      </c>
      <c r="C6" s="349">
        <f>'M2020 BLS  SALARY CHART'!C14</f>
        <v>54412.800000000003</v>
      </c>
      <c r="D6" s="47"/>
      <c r="F6" s="97" t="str">
        <f>A4</f>
        <v>Specialty Site Manager (LICSW)</v>
      </c>
      <c r="G6" s="56"/>
      <c r="H6" s="57">
        <f>C4</f>
        <v>80606.448000000004</v>
      </c>
      <c r="I6" s="58">
        <v>0.5</v>
      </c>
      <c r="J6" s="34">
        <f>H6*I6</f>
        <v>40303.224000000002</v>
      </c>
      <c r="L6" s="364" t="s">
        <v>23</v>
      </c>
      <c r="M6" s="365"/>
      <c r="N6" s="366">
        <f>C6</f>
        <v>54412.800000000003</v>
      </c>
      <c r="O6" s="367">
        <v>0.9</v>
      </c>
      <c r="P6" s="368">
        <f>N6*O6</f>
        <v>48971.520000000004</v>
      </c>
    </row>
    <row r="7" spans="1:19" ht="15.75">
      <c r="A7" s="415" t="s">
        <v>62</v>
      </c>
      <c r="B7" s="348" t="s">
        <v>392</v>
      </c>
      <c r="C7" s="349">
        <f>'M2022 BLS SALARY CHART (53_PCT)'!C8</f>
        <v>53206.566400000003</v>
      </c>
      <c r="D7" s="47"/>
      <c r="F7" s="97" t="str">
        <f>A5</f>
        <v>Specialty Site Supervisor</v>
      </c>
      <c r="G7" s="56"/>
      <c r="H7" s="57">
        <f>C5</f>
        <v>65676.416000000012</v>
      </c>
      <c r="I7" s="58">
        <v>0.5</v>
      </c>
      <c r="J7" s="34">
        <f>H7*I7</f>
        <v>32838.208000000006</v>
      </c>
      <c r="L7" s="364" t="e">
        <f>#REF!</f>
        <v>#REF!</v>
      </c>
      <c r="M7" s="365"/>
      <c r="N7" s="366" t="e">
        <f>#REF!</f>
        <v>#REF!</v>
      </c>
      <c r="O7" s="367">
        <v>0.3</v>
      </c>
      <c r="P7" s="368" t="e">
        <f>O7*N7</f>
        <v>#REF!</v>
      </c>
    </row>
    <row r="8" spans="1:19" ht="15.75">
      <c r="A8" s="415" t="s">
        <v>28</v>
      </c>
      <c r="B8" s="348" t="s">
        <v>392</v>
      </c>
      <c r="C8" s="349">
        <f>'M2022 BLS SALARY CHART (53_PCT)'!C6</f>
        <v>41600</v>
      </c>
      <c r="D8" s="47"/>
      <c r="F8" s="97" t="str">
        <f>A6</f>
        <v>Clinical (MA Level)</v>
      </c>
      <c r="G8" s="56"/>
      <c r="H8" s="57">
        <f>C6</f>
        <v>54412.800000000003</v>
      </c>
      <c r="I8" s="58">
        <v>0.6</v>
      </c>
      <c r="J8" s="34">
        <f>I8*H8</f>
        <v>32647.68</v>
      </c>
      <c r="L8" s="369" t="s">
        <v>29</v>
      </c>
      <c r="M8" s="365"/>
      <c r="N8" s="366" t="e">
        <f>#REF!</f>
        <v>#REF!</v>
      </c>
      <c r="O8" s="367">
        <v>5.77</v>
      </c>
      <c r="P8" s="368" t="e">
        <f t="shared" ref="P8:P10" si="0">N8*O8</f>
        <v>#REF!</v>
      </c>
      <c r="S8" s="89"/>
    </row>
    <row r="9" spans="1:19" ht="15.75">
      <c r="A9" s="78" t="s">
        <v>33</v>
      </c>
      <c r="B9" s="79"/>
      <c r="C9" s="121"/>
      <c r="D9" s="450"/>
      <c r="F9" s="97" t="str">
        <f>A7</f>
        <v>Direct Care III</v>
      </c>
      <c r="G9" s="60"/>
      <c r="H9" s="57">
        <f>C7</f>
        <v>53206.566400000003</v>
      </c>
      <c r="I9" s="58">
        <v>0.4</v>
      </c>
      <c r="J9" s="34">
        <f>I9*H9</f>
        <v>21282.626560000004</v>
      </c>
      <c r="L9" s="370" t="s">
        <v>61</v>
      </c>
      <c r="M9" s="365"/>
      <c r="N9" s="366" t="e">
        <f>#REF!</f>
        <v>#REF!</v>
      </c>
      <c r="O9" s="367">
        <f>SUM(O7:O8)*C25</f>
        <v>0.89649230769230748</v>
      </c>
      <c r="P9" s="368" t="e">
        <f t="shared" si="0"/>
        <v>#REF!</v>
      </c>
    </row>
    <row r="10" spans="1:19" ht="16.5" thickBot="1">
      <c r="A10" s="415" t="s">
        <v>12</v>
      </c>
      <c r="B10" s="348" t="s">
        <v>327</v>
      </c>
      <c r="C10" s="350">
        <f>'M2022 BLS SALARY CHART (53_PCT)'!C38</f>
        <v>0.27379999999999999</v>
      </c>
      <c r="D10" s="450"/>
      <c r="F10" s="48" t="str">
        <f>A8</f>
        <v>Direct Care</v>
      </c>
      <c r="G10" s="56"/>
      <c r="H10" s="57">
        <f>C8</f>
        <v>41600</v>
      </c>
      <c r="I10" s="58">
        <v>6.01</v>
      </c>
      <c r="J10" s="34">
        <f t="shared" ref="J10" si="1">H10*I10</f>
        <v>250016</v>
      </c>
      <c r="L10" s="369" t="e">
        <f>#REF!</f>
        <v>#REF!</v>
      </c>
      <c r="M10" s="365"/>
      <c r="N10" s="366" t="e">
        <f>#REF!</f>
        <v>#REF!</v>
      </c>
      <c r="O10" s="367">
        <v>0.39500000000000002</v>
      </c>
      <c r="P10" s="368" t="e">
        <f t="shared" si="0"/>
        <v>#REF!</v>
      </c>
    </row>
    <row r="11" spans="1:19" ht="16.5" thickBot="1">
      <c r="A11" s="415" t="str">
        <f>'4625 - Residential Housing Stab'!A10</f>
        <v>Occupancy (Per unit)</v>
      </c>
      <c r="B11" s="348" t="s">
        <v>414</v>
      </c>
      <c r="C11" s="654">
        <f>'FY22 UFR Data'!Q31</f>
        <v>30.9</v>
      </c>
      <c r="D11" s="98"/>
      <c r="F11" s="436" t="s">
        <v>30</v>
      </c>
      <c r="G11" s="437"/>
      <c r="H11" s="441"/>
      <c r="I11" s="439">
        <f>SUM(I6:I10)</f>
        <v>8.01</v>
      </c>
      <c r="J11" s="440">
        <f>SUM(J6:J10)</f>
        <v>377087.73855999997</v>
      </c>
      <c r="L11" s="369"/>
      <c r="M11" s="365"/>
      <c r="N11" s="366"/>
      <c r="O11" s="367"/>
      <c r="P11" s="368"/>
    </row>
    <row r="12" spans="1:19" ht="16.5" thickBot="1">
      <c r="A12" s="415" t="s">
        <v>276</v>
      </c>
      <c r="B12" s="348" t="s">
        <v>416</v>
      </c>
      <c r="C12" s="655">
        <f>16534+6775</f>
        <v>23309</v>
      </c>
      <c r="D12" s="98"/>
      <c r="F12" s="42" t="s">
        <v>12</v>
      </c>
      <c r="G12" s="46"/>
      <c r="H12" s="61">
        <f>'M2020 BLS  SALARY CHART'!C40</f>
        <v>0.2422</v>
      </c>
      <c r="I12" s="62"/>
      <c r="J12" s="34">
        <f>H12*J11</f>
        <v>91330.650279231995</v>
      </c>
      <c r="L12" s="371" t="s">
        <v>30</v>
      </c>
      <c r="M12" s="372"/>
      <c r="N12" s="373"/>
      <c r="O12" s="374">
        <f>SUM(O6:O11)</f>
        <v>8.2614923076923077</v>
      </c>
      <c r="P12" s="375" t="e">
        <f>SUM(P6:P11)</f>
        <v>#REF!</v>
      </c>
    </row>
    <row r="13" spans="1:19" ht="16.5" thickBot="1">
      <c r="A13" s="415" t="str">
        <f>'4625 - Residential Housing Stab'!A13</f>
        <v>Staff Training (per  unit)</v>
      </c>
      <c r="B13" s="348" t="s">
        <v>414</v>
      </c>
      <c r="C13" s="656">
        <f>'FY22 UFR Data'!T31</f>
        <v>0</v>
      </c>
      <c r="D13" s="99"/>
      <c r="F13" s="436" t="s">
        <v>32</v>
      </c>
      <c r="G13" s="437"/>
      <c r="H13" s="438"/>
      <c r="I13" s="439"/>
      <c r="J13" s="440">
        <f>J11+J12</f>
        <v>468418.38883923198</v>
      </c>
      <c r="L13" s="376"/>
      <c r="M13" s="358"/>
      <c r="N13" s="355"/>
      <c r="O13" s="377"/>
      <c r="P13" s="378"/>
    </row>
    <row r="14" spans="1:19" ht="15.75">
      <c r="A14" s="415" t="str">
        <f>'4625 - Residential Housing Stab'!A14</f>
        <v xml:space="preserve">All other expenses </v>
      </c>
      <c r="B14" s="348" t="s">
        <v>414</v>
      </c>
      <c r="C14" s="656">
        <f>'FY22 UFR Data'!N31</f>
        <v>14.098630136986301</v>
      </c>
      <c r="D14" s="98"/>
      <c r="F14" s="567" t="s">
        <v>33</v>
      </c>
      <c r="G14" s="568"/>
      <c r="H14" s="569"/>
      <c r="I14" s="570" t="s">
        <v>34</v>
      </c>
      <c r="J14" s="571"/>
      <c r="L14" s="379" t="s">
        <v>12</v>
      </c>
      <c r="M14" s="380"/>
      <c r="N14" s="381">
        <f>C10</f>
        <v>0.27379999999999999</v>
      </c>
      <c r="O14" s="382"/>
      <c r="P14" s="368" t="e">
        <f>N14*P12</f>
        <v>#REF!</v>
      </c>
    </row>
    <row r="15" spans="1:19" ht="15.75">
      <c r="A15" s="415" t="s">
        <v>39</v>
      </c>
      <c r="B15" s="348" t="s">
        <v>327</v>
      </c>
      <c r="C15" s="350">
        <f>'M2022 BLS SALARY CHART (53_PCT)'!C41</f>
        <v>0.12</v>
      </c>
      <c r="D15" s="98"/>
      <c r="F15" s="42" t="str">
        <f>'4624-Emergency Shelters'!A7</f>
        <v xml:space="preserve">Relief / Consult / Temp </v>
      </c>
      <c r="G15" s="46"/>
      <c r="H15" s="43"/>
      <c r="I15" s="44"/>
      <c r="J15" s="34">
        <f>SUM(I9:I10)*C25*C8</f>
        <v>39383.040000000001</v>
      </c>
      <c r="L15" s="371" t="s">
        <v>32</v>
      </c>
      <c r="M15" s="372"/>
      <c r="N15" s="383"/>
      <c r="O15" s="374"/>
      <c r="P15" s="375" t="e">
        <f>SUM(P12:P14)</f>
        <v>#REF!</v>
      </c>
    </row>
    <row r="16" spans="1:19" ht="15.75">
      <c r="A16" s="416" t="s">
        <v>282</v>
      </c>
      <c r="B16" s="352"/>
      <c r="C16" s="351">
        <v>0.98</v>
      </c>
      <c r="D16" s="98"/>
      <c r="F16" s="42" t="s">
        <v>63</v>
      </c>
      <c r="G16" s="46"/>
      <c r="H16" s="43"/>
      <c r="I16" s="62"/>
      <c r="J16" s="34">
        <f>C12</f>
        <v>23309</v>
      </c>
      <c r="K16" s="84"/>
      <c r="L16" s="379"/>
      <c r="M16" s="380"/>
      <c r="N16" s="384"/>
      <c r="O16" s="367"/>
      <c r="P16" s="378"/>
    </row>
    <row r="17" spans="1:17" ht="16.5" thickBot="1">
      <c r="A17" s="458" t="s">
        <v>15</v>
      </c>
      <c r="B17" s="457"/>
      <c r="C17" s="456">
        <f>'Fall CAF 2023'!CR28</f>
        <v>2.5758086673353865E-2</v>
      </c>
      <c r="D17" s="113"/>
      <c r="F17" s="42" t="str">
        <f>A11</f>
        <v>Occupancy (Per unit)</v>
      </c>
      <c r="G17" s="46"/>
      <c r="H17" s="43"/>
      <c r="I17" s="435">
        <f>C11</f>
        <v>30.9</v>
      </c>
      <c r="J17" s="34">
        <f>I17*J3</f>
        <v>90228</v>
      </c>
      <c r="L17" s="385" t="s">
        <v>33</v>
      </c>
      <c r="M17" s="358"/>
      <c r="N17" s="355"/>
      <c r="O17" s="356" t="s">
        <v>34</v>
      </c>
      <c r="P17" s="378"/>
    </row>
    <row r="18" spans="1:17" ht="16.5" thickBot="1">
      <c r="A18" s="67" t="s">
        <v>394</v>
      </c>
      <c r="D18" s="98"/>
      <c r="F18" s="42" t="str">
        <f>A14</f>
        <v xml:space="preserve">All other expenses </v>
      </c>
      <c r="G18" s="46"/>
      <c r="H18" s="43"/>
      <c r="I18" s="435">
        <f>C14</f>
        <v>14.098630136986301</v>
      </c>
      <c r="J18" s="34">
        <f>I18*J3</f>
        <v>41168</v>
      </c>
      <c r="L18" s="379" t="s">
        <v>35</v>
      </c>
      <c r="M18" s="380"/>
      <c r="N18" s="384"/>
      <c r="O18" s="356"/>
      <c r="P18" s="368">
        <v>1200</v>
      </c>
    </row>
    <row r="19" spans="1:17" ht="15.75">
      <c r="A19" s="117" t="s">
        <v>44</v>
      </c>
      <c r="B19" s="118" t="s">
        <v>45</v>
      </c>
      <c r="C19" s="119" t="s">
        <v>46</v>
      </c>
      <c r="D19" s="98"/>
      <c r="F19" s="42" t="str">
        <f>A13</f>
        <v>Staff Training (per  unit)</v>
      </c>
      <c r="G19" s="46"/>
      <c r="H19" s="43"/>
      <c r="I19" s="435">
        <f>C13</f>
        <v>0</v>
      </c>
      <c r="J19" s="34">
        <f>I19*J3</f>
        <v>0</v>
      </c>
      <c r="L19" s="379" t="str">
        <f>F16</f>
        <v>Subcontracted Services</v>
      </c>
      <c r="M19" s="380"/>
      <c r="N19" s="384"/>
      <c r="O19" s="356"/>
      <c r="P19" s="368">
        <f>J16</f>
        <v>23309</v>
      </c>
    </row>
    <row r="20" spans="1:17" ht="16.5" thickBot="1">
      <c r="A20" s="120" t="s">
        <v>47</v>
      </c>
      <c r="B20" s="121">
        <v>15</v>
      </c>
      <c r="C20" s="47">
        <f>B20*8</f>
        <v>120</v>
      </c>
      <c r="D20" s="98"/>
      <c r="F20" s="42" t="str">
        <f>'4625 - Residential Housing Stab'!K20</f>
        <v>Additional Program Expenses (per unit)</v>
      </c>
      <c r="G20" s="46"/>
      <c r="H20" s="43"/>
      <c r="I20" s="435">
        <v>25.65</v>
      </c>
      <c r="J20" s="564">
        <f>I20*J3</f>
        <v>74898</v>
      </c>
      <c r="L20" s="379" t="s">
        <v>36</v>
      </c>
      <c r="M20" s="380"/>
      <c r="N20" s="384"/>
      <c r="O20" s="367" t="e">
        <f>#REF!</f>
        <v>#REF!</v>
      </c>
      <c r="P20" s="368" t="e">
        <f>P3*O20</f>
        <v>#REF!</v>
      </c>
    </row>
    <row r="21" spans="1:17" ht="16.5" thickTop="1">
      <c r="A21" s="120" t="s">
        <v>48</v>
      </c>
      <c r="B21" s="121">
        <v>8</v>
      </c>
      <c r="C21" s="47">
        <f t="shared" ref="C21:C23" si="2">B21*8</f>
        <v>64</v>
      </c>
      <c r="D21" s="98"/>
      <c r="F21" s="42"/>
      <c r="G21" s="46"/>
      <c r="H21" s="43"/>
      <c r="I21" s="40"/>
      <c r="J21" s="41">
        <f>SUM(J15:J20)</f>
        <v>268986.04000000004</v>
      </c>
      <c r="L21" s="379" t="s">
        <v>37</v>
      </c>
      <c r="M21" s="380"/>
      <c r="N21" s="384"/>
      <c r="O21" s="367" t="e">
        <f>#REF!</f>
        <v>#REF!</v>
      </c>
      <c r="P21" s="368" t="e">
        <f>P3*O21</f>
        <v>#REF!</v>
      </c>
    </row>
    <row r="22" spans="1:17" ht="15.75">
      <c r="A22" s="120" t="s">
        <v>49</v>
      </c>
      <c r="B22" s="121">
        <v>11</v>
      </c>
      <c r="C22" s="47">
        <f t="shared" si="2"/>
        <v>88</v>
      </c>
      <c r="D22" s="98"/>
      <c r="F22" s="35" t="s">
        <v>38</v>
      </c>
      <c r="G22" s="36"/>
      <c r="H22" s="45"/>
      <c r="I22" s="37"/>
      <c r="J22" s="38">
        <f>J13+J21</f>
        <v>737404.42883923207</v>
      </c>
      <c r="L22" s="379" t="e">
        <f>#REF!</f>
        <v>#REF!</v>
      </c>
      <c r="M22" s="380"/>
      <c r="N22" s="384"/>
      <c r="O22" s="367">
        <f>C13</f>
        <v>0</v>
      </c>
      <c r="P22" s="368">
        <f>O22*SUM(O8:O10)</f>
        <v>0</v>
      </c>
    </row>
    <row r="23" spans="1:17" ht="15.75">
      <c r="A23" s="122" t="s">
        <v>50</v>
      </c>
      <c r="B23" s="123">
        <v>4.4000000000000004</v>
      </c>
      <c r="C23" s="124">
        <f t="shared" si="2"/>
        <v>35.200000000000003</v>
      </c>
      <c r="D23" s="98"/>
      <c r="F23" s="42" t="s">
        <v>39</v>
      </c>
      <c r="G23" s="39"/>
      <c r="H23" s="61">
        <f>C15</f>
        <v>0.12</v>
      </c>
      <c r="I23" s="40"/>
      <c r="J23" s="34">
        <f>J22*H23</f>
        <v>88488.531460707847</v>
      </c>
      <c r="L23" s="379" t="e">
        <f>#REF!</f>
        <v>#REF!</v>
      </c>
      <c r="M23" s="380"/>
      <c r="N23" s="384"/>
      <c r="O23" s="386" t="e">
        <f>#REF!</f>
        <v>#REF!</v>
      </c>
      <c r="P23" s="387" t="e">
        <f>P12*O23</f>
        <v>#REF!</v>
      </c>
    </row>
    <row r="24" spans="1:17" ht="16.5" thickBot="1">
      <c r="A24" s="120"/>
      <c r="B24" s="125" t="s">
        <v>51</v>
      </c>
      <c r="C24" s="47">
        <f>SUM(C20:C23)</f>
        <v>307.2</v>
      </c>
      <c r="D24" s="98"/>
      <c r="F24" s="445" t="s">
        <v>64</v>
      </c>
      <c r="G24" s="100"/>
      <c r="H24" s="101"/>
      <c r="I24" s="102"/>
      <c r="J24" s="49">
        <f>J22+J23</f>
        <v>825892.96029993996</v>
      </c>
      <c r="L24" s="379"/>
      <c r="M24" s="380"/>
      <c r="N24" s="384"/>
      <c r="O24" s="377"/>
      <c r="P24" s="378" t="e">
        <f>SUM(P18:P23)</f>
        <v>#REF!</v>
      </c>
    </row>
    <row r="25" spans="1:17" ht="17.25" thickTop="1" thickBot="1">
      <c r="A25" s="126"/>
      <c r="B25" s="127" t="s">
        <v>52</v>
      </c>
      <c r="C25" s="128">
        <f>C24/(52*40)</f>
        <v>0.14769230769230768</v>
      </c>
      <c r="D25" s="113"/>
      <c r="F25" s="436" t="s">
        <v>15</v>
      </c>
      <c r="G25" s="437"/>
      <c r="H25" s="565">
        <f>C17</f>
        <v>2.5758086673353865E-2</v>
      </c>
      <c r="I25" s="439"/>
      <c r="J25" s="442">
        <f>J22*H25</f>
        <v>18994.127191355943</v>
      </c>
      <c r="L25" s="379"/>
      <c r="M25" s="380"/>
      <c r="N25" s="384"/>
      <c r="O25" s="388"/>
      <c r="P25" s="368"/>
    </row>
    <row r="26" spans="1:17" ht="16.5" thickBot="1">
      <c r="D26" s="98"/>
      <c r="F26" s="445" t="s">
        <v>64</v>
      </c>
      <c r="G26" s="558"/>
      <c r="H26" s="560"/>
      <c r="I26" s="40"/>
      <c r="J26" s="41">
        <f>J25+J24</f>
        <v>844887.08749129588</v>
      </c>
      <c r="L26" s="371" t="s">
        <v>38</v>
      </c>
      <c r="M26" s="372"/>
      <c r="N26" s="383"/>
      <c r="O26" s="374"/>
      <c r="P26" s="375" t="e">
        <f>P15+P24</f>
        <v>#REF!</v>
      </c>
    </row>
    <row r="27" spans="1:17" ht="17.25" thickTop="1" thickBot="1">
      <c r="D27" s="98"/>
      <c r="F27" s="436" t="s">
        <v>57</v>
      </c>
      <c r="G27" s="437"/>
      <c r="H27" s="443"/>
      <c r="I27" s="439"/>
      <c r="J27" s="444">
        <f>J26/J3</f>
        <v>289.34489297647121</v>
      </c>
      <c r="L27" s="385"/>
      <c r="M27" s="358"/>
      <c r="N27" s="389"/>
      <c r="O27" s="377"/>
      <c r="P27" s="378"/>
    </row>
    <row r="28" spans="1:17" ht="18.75" thickBot="1">
      <c r="A28" s="346"/>
      <c r="C28" s="59"/>
      <c r="D28" s="98"/>
      <c r="F28" s="103" t="s">
        <v>65</v>
      </c>
      <c r="G28" s="104"/>
      <c r="H28" s="566">
        <f>C16</f>
        <v>0.98</v>
      </c>
      <c r="I28" s="105"/>
      <c r="J28" s="52">
        <f>J27/H28</f>
        <v>295.24989079231756</v>
      </c>
      <c r="L28" s="379" t="s">
        <v>39</v>
      </c>
      <c r="M28" s="380"/>
      <c r="N28" s="381">
        <f>$C$15</f>
        <v>0.12</v>
      </c>
      <c r="O28" s="367"/>
      <c r="P28" s="368" t="e">
        <f>P26*N28</f>
        <v>#REF!</v>
      </c>
    </row>
    <row r="29" spans="1:17" ht="16.5" thickBot="1">
      <c r="A29" s="346"/>
      <c r="C29" s="59"/>
      <c r="D29" s="113"/>
      <c r="F29" s="106"/>
      <c r="G29" s="46"/>
      <c r="H29" s="106"/>
      <c r="I29" s="46"/>
      <c r="J29" s="417"/>
      <c r="L29" s="390"/>
      <c r="M29" s="391"/>
      <c r="N29" s="392"/>
      <c r="O29" s="393"/>
      <c r="P29" s="394"/>
    </row>
    <row r="30" spans="1:17" ht="15.75">
      <c r="A30" s="346"/>
      <c r="C30" s="59"/>
      <c r="D30" s="115"/>
      <c r="F30" s="87"/>
      <c r="G30" s="59"/>
      <c r="I30" s="59"/>
      <c r="J30" s="107"/>
      <c r="L30" s="385"/>
      <c r="M30" s="395"/>
      <c r="N30" s="396"/>
      <c r="O30" s="397"/>
      <c r="P30" s="378"/>
      <c r="Q30" s="84"/>
    </row>
    <row r="31" spans="1:17">
      <c r="A31" s="346"/>
      <c r="C31" s="59"/>
      <c r="G31" s="59"/>
      <c r="I31" s="148"/>
      <c r="J31" s="109"/>
      <c r="L31" s="385"/>
      <c r="M31" s="395"/>
      <c r="N31" s="396"/>
      <c r="O31" s="397"/>
      <c r="P31" s="398"/>
      <c r="Q31" s="84"/>
    </row>
    <row r="32" spans="1:17">
      <c r="A32" s="347"/>
      <c r="C32" s="59"/>
      <c r="G32" s="59"/>
      <c r="I32" s="108"/>
      <c r="J32" s="110"/>
      <c r="L32" s="385"/>
      <c r="M32" s="395"/>
      <c r="N32" s="396"/>
      <c r="O32" s="397"/>
      <c r="P32" s="399"/>
    </row>
    <row r="33" spans="1:16">
      <c r="A33" s="347"/>
      <c r="C33" s="59"/>
      <c r="G33" s="59"/>
      <c r="I33" s="108"/>
      <c r="J33" s="111"/>
      <c r="L33" s="400"/>
      <c r="M33" s="401"/>
      <c r="N33" s="402"/>
      <c r="O33" s="403"/>
      <c r="P33" s="404"/>
    </row>
    <row r="34" spans="1:16" ht="21" thickBot="1">
      <c r="A34" s="347"/>
      <c r="C34" s="59"/>
      <c r="F34" s="112"/>
      <c r="G34" s="63"/>
      <c r="H34" s="69"/>
      <c r="I34" s="40"/>
      <c r="J34" s="54"/>
      <c r="L34" s="405" t="s">
        <v>66</v>
      </c>
      <c r="M34" s="406"/>
      <c r="N34" s="407">
        <f>H28</f>
        <v>0.98</v>
      </c>
      <c r="O34" s="406"/>
      <c r="P34" s="408">
        <f>P32/N34+0.01</f>
        <v>0.01</v>
      </c>
    </row>
    <row r="35" spans="1:16">
      <c r="H35" s="66"/>
      <c r="I35" s="40"/>
      <c r="J35" s="55"/>
      <c r="L35" s="409"/>
      <c r="M35" s="410"/>
      <c r="N35" s="410"/>
      <c r="O35" s="380" t="s">
        <v>42</v>
      </c>
      <c r="P35" s="411">
        <v>174.12</v>
      </c>
    </row>
    <row r="36" spans="1:16">
      <c r="F36" s="50"/>
      <c r="G36" s="50"/>
      <c r="H36" s="65"/>
      <c r="I36" s="51"/>
      <c r="J36" s="114"/>
      <c r="L36" s="409"/>
      <c r="M36" s="409"/>
      <c r="N36" s="409"/>
      <c r="O36" s="409"/>
      <c r="P36" s="412">
        <f>P34-P35</f>
        <v>-174.11</v>
      </c>
    </row>
    <row r="37" spans="1:16" ht="17.25" customHeight="1">
      <c r="A37" s="346"/>
      <c r="C37" s="59"/>
      <c r="F37" s="63"/>
      <c r="G37" s="63"/>
      <c r="H37" s="116"/>
      <c r="I37" s="63"/>
      <c r="J37" s="114"/>
      <c r="L37" s="409"/>
      <c r="M37" s="409"/>
      <c r="N37" s="409"/>
      <c r="O37" s="413"/>
      <c r="P37" s="414">
        <f>P36/P35</f>
        <v>-0.99994256834367112</v>
      </c>
    </row>
    <row r="38" spans="1:16">
      <c r="A38" s="346"/>
      <c r="C38" s="59"/>
      <c r="G38" s="59"/>
      <c r="I38" s="108"/>
      <c r="J38" s="109"/>
      <c r="M38" s="59"/>
      <c r="N38" s="108"/>
      <c r="O38" s="110"/>
    </row>
    <row r="39" spans="1:16">
      <c r="A39" s="347"/>
      <c r="C39" s="59"/>
      <c r="G39" s="59"/>
      <c r="I39" s="108"/>
      <c r="M39" s="59"/>
      <c r="N39" s="108"/>
      <c r="O39" s="111"/>
    </row>
    <row r="40" spans="1:16">
      <c r="A40" s="347"/>
      <c r="C40" s="59"/>
      <c r="G40" s="59"/>
      <c r="I40" s="59"/>
      <c r="L40" s="112"/>
      <c r="M40" s="64"/>
      <c r="N40" s="69"/>
      <c r="O40" s="40"/>
      <c r="P40" s="54"/>
    </row>
    <row r="41" spans="1:16">
      <c r="A41" s="346"/>
      <c r="C41" s="59"/>
      <c r="F41" s="66"/>
      <c r="K41" s="64"/>
      <c r="O41" s="40"/>
      <c r="P41" s="55"/>
    </row>
    <row r="42" spans="1:16">
      <c r="A42" s="346"/>
      <c r="C42" s="59"/>
      <c r="F42" s="108"/>
      <c r="K42" s="64"/>
      <c r="L42" s="64"/>
      <c r="M42" s="50"/>
      <c r="N42" s="65"/>
      <c r="O42" s="51"/>
      <c r="P42" s="114"/>
    </row>
    <row r="43" spans="1:16">
      <c r="A43" s="347"/>
      <c r="C43" s="59"/>
      <c r="K43" s="64"/>
      <c r="L43" s="63"/>
      <c r="M43" s="64"/>
      <c r="N43" s="116"/>
      <c r="O43" s="50"/>
      <c r="P43" s="114"/>
    </row>
    <row r="44" spans="1:16" ht="30.6" customHeight="1">
      <c r="A44" s="347"/>
      <c r="C44" s="59"/>
      <c r="F44" s="108"/>
      <c r="I44" s="59"/>
      <c r="K44" s="106"/>
      <c r="M44" s="59"/>
      <c r="N44" s="59"/>
      <c r="O44" s="59"/>
    </row>
    <row r="45" spans="1:16">
      <c r="F45" s="66"/>
      <c r="I45" s="59"/>
      <c r="M45" s="59"/>
      <c r="N45" s="59"/>
      <c r="O45" s="59"/>
    </row>
    <row r="46" spans="1:16">
      <c r="F46" s="108"/>
      <c r="I46" s="130"/>
      <c r="M46" s="59"/>
      <c r="N46" s="59"/>
      <c r="O46" s="59"/>
    </row>
    <row r="47" spans="1:16">
      <c r="F47" s="66"/>
      <c r="I47" s="59"/>
      <c r="M47" s="59"/>
      <c r="N47" s="59"/>
      <c r="O47" s="59"/>
    </row>
    <row r="48" spans="1:16">
      <c r="F48" s="66"/>
      <c r="I48" s="59"/>
      <c r="M48" s="59"/>
      <c r="N48" s="59"/>
      <c r="O48" s="59"/>
    </row>
    <row r="49" spans="6:15">
      <c r="F49" s="66"/>
      <c r="G49" s="131"/>
      <c r="I49" s="59"/>
      <c r="M49" s="59"/>
      <c r="N49" s="59"/>
      <c r="O49" s="59"/>
    </row>
    <row r="50" spans="6:15">
      <c r="F50" s="132"/>
      <c r="G50" s="133"/>
      <c r="I50" s="59"/>
      <c r="M50" s="59"/>
      <c r="N50" s="59"/>
      <c r="O50" s="59"/>
    </row>
    <row r="51" spans="6:15">
      <c r="F51" s="132"/>
      <c r="G51" s="133"/>
      <c r="I51" s="59"/>
      <c r="M51" s="59"/>
      <c r="N51" s="59"/>
      <c r="O51" s="59"/>
    </row>
    <row r="52" spans="6:15">
      <c r="F52" s="132"/>
      <c r="G52" s="133"/>
      <c r="I52" s="59"/>
      <c r="M52" s="59"/>
      <c r="N52" s="59"/>
      <c r="O52" s="59"/>
    </row>
    <row r="53" spans="6:15">
      <c r="F53" s="66"/>
      <c r="G53" s="59"/>
      <c r="I53" s="59"/>
      <c r="M53" s="59"/>
      <c r="N53" s="59"/>
      <c r="O53" s="59"/>
    </row>
    <row r="54" spans="6:15">
      <c r="F54" s="66"/>
      <c r="G54" s="59"/>
      <c r="I54" s="59"/>
      <c r="M54" s="59"/>
      <c r="N54" s="59"/>
      <c r="O54" s="59"/>
    </row>
    <row r="55" spans="6:15">
      <c r="F55" s="66"/>
      <c r="G55" s="59"/>
      <c r="I55" s="59"/>
      <c r="M55" s="59"/>
      <c r="N55" s="59"/>
      <c r="O55" s="59"/>
    </row>
    <row r="56" spans="6:15">
      <c r="F56" s="66"/>
      <c r="G56" s="59"/>
      <c r="I56" s="59"/>
      <c r="M56" s="59"/>
      <c r="N56" s="59"/>
      <c r="O56" s="59"/>
    </row>
    <row r="57" spans="6:15">
      <c r="F57" s="66"/>
      <c r="G57" s="59"/>
      <c r="I57" s="59"/>
      <c r="M57" s="59"/>
      <c r="N57" s="59"/>
      <c r="O57" s="59"/>
    </row>
    <row r="58" spans="6:15">
      <c r="F58" s="66"/>
      <c r="G58" s="59"/>
      <c r="I58" s="59"/>
      <c r="M58" s="59"/>
      <c r="N58" s="59"/>
      <c r="O58" s="59"/>
    </row>
    <row r="59" spans="6:15">
      <c r="G59" s="59"/>
      <c r="I59" s="59"/>
      <c r="M59" s="59"/>
      <c r="N59" s="59"/>
      <c r="O59" s="59"/>
    </row>
    <row r="60" spans="6:15">
      <c r="G60" s="59"/>
      <c r="I60" s="59"/>
      <c r="M60" s="59"/>
      <c r="N60" s="59"/>
      <c r="O60" s="59"/>
    </row>
    <row r="61" spans="6:15">
      <c r="G61" s="59"/>
      <c r="I61" s="59"/>
      <c r="M61" s="59"/>
      <c r="N61" s="59"/>
      <c r="O61" s="59"/>
    </row>
    <row r="62" spans="6:15">
      <c r="G62" s="59"/>
      <c r="I62" s="59"/>
      <c r="M62" s="59"/>
      <c r="N62" s="59"/>
      <c r="O62" s="59"/>
    </row>
    <row r="63" spans="6:15">
      <c r="G63" s="59"/>
      <c r="I63" s="59"/>
      <c r="M63" s="59"/>
      <c r="N63" s="59"/>
      <c r="O63" s="59"/>
    </row>
    <row r="64" spans="6:15">
      <c r="G64" s="59"/>
      <c r="I64" s="59"/>
      <c r="M64" s="59"/>
      <c r="N64" s="59"/>
      <c r="O64" s="59"/>
    </row>
    <row r="65" spans="7:15">
      <c r="G65" s="59"/>
      <c r="I65" s="59"/>
      <c r="M65" s="59"/>
      <c r="N65" s="59"/>
      <c r="O65" s="59"/>
    </row>
    <row r="66" spans="7:15">
      <c r="G66" s="59"/>
      <c r="I66" s="59"/>
      <c r="M66" s="59"/>
      <c r="N66" s="59"/>
      <c r="O66" s="59"/>
    </row>
    <row r="67" spans="7:15">
      <c r="G67" s="59"/>
      <c r="I67" s="59"/>
      <c r="M67" s="59"/>
      <c r="N67" s="59"/>
      <c r="O67" s="59"/>
    </row>
    <row r="68" spans="7:15">
      <c r="G68" s="59"/>
      <c r="I68" s="59"/>
      <c r="M68" s="59"/>
      <c r="N68" s="59"/>
      <c r="O68" s="59"/>
    </row>
    <row r="69" spans="7:15">
      <c r="G69" s="59"/>
      <c r="I69" s="59"/>
      <c r="M69" s="59"/>
      <c r="N69" s="59"/>
      <c r="O69" s="59"/>
    </row>
    <row r="70" spans="7:15">
      <c r="G70" s="59"/>
      <c r="I70" s="59"/>
      <c r="M70" s="59"/>
      <c r="N70" s="59"/>
      <c r="O70" s="59"/>
    </row>
    <row r="71" spans="7:15">
      <c r="G71" s="59"/>
      <c r="I71" s="59"/>
      <c r="M71" s="59"/>
      <c r="N71" s="59"/>
      <c r="O71" s="59"/>
    </row>
    <row r="72" spans="7:15">
      <c r="G72" s="59"/>
      <c r="I72" s="59"/>
      <c r="M72" s="59"/>
      <c r="N72" s="59"/>
      <c r="O72" s="59"/>
    </row>
    <row r="73" spans="7:15">
      <c r="G73" s="59"/>
      <c r="I73" s="59"/>
      <c r="M73" s="59"/>
      <c r="N73" s="59"/>
      <c r="O73" s="59"/>
    </row>
    <row r="74" spans="7:15">
      <c r="G74" s="59"/>
      <c r="I74" s="59"/>
      <c r="M74" s="59"/>
      <c r="N74" s="59"/>
      <c r="O74" s="59"/>
    </row>
    <row r="75" spans="7:15">
      <c r="G75" s="59"/>
      <c r="I75" s="59"/>
      <c r="M75" s="59"/>
      <c r="N75" s="59"/>
      <c r="O75" s="59"/>
    </row>
    <row r="76" spans="7:15">
      <c r="G76" s="59"/>
      <c r="I76" s="59"/>
      <c r="M76" s="59"/>
      <c r="N76" s="59"/>
      <c r="O76" s="59"/>
    </row>
    <row r="77" spans="7:15">
      <c r="G77" s="59"/>
      <c r="I77" s="59"/>
      <c r="M77" s="59"/>
      <c r="N77" s="59"/>
      <c r="O77" s="59"/>
    </row>
    <row r="78" spans="7:15">
      <c r="G78" s="59"/>
      <c r="I78" s="59"/>
      <c r="M78" s="59"/>
      <c r="N78" s="59"/>
      <c r="O78" s="59"/>
    </row>
    <row r="79" spans="7:15">
      <c r="G79" s="59"/>
      <c r="I79" s="59"/>
      <c r="M79" s="59"/>
      <c r="N79" s="59"/>
      <c r="O79" s="59"/>
    </row>
    <row r="80" spans="7:15">
      <c r="G80" s="59"/>
      <c r="I80" s="59"/>
      <c r="M80" s="59"/>
      <c r="N80" s="59"/>
      <c r="O80" s="59"/>
    </row>
    <row r="81" spans="7:15">
      <c r="G81" s="59"/>
      <c r="I81" s="59"/>
      <c r="M81" s="59"/>
      <c r="N81" s="59"/>
      <c r="O81" s="59"/>
    </row>
    <row r="82" spans="7:15" ht="18" customHeight="1">
      <c r="G82" s="59"/>
      <c r="I82" s="59"/>
      <c r="M82" s="59"/>
      <c r="N82" s="59"/>
      <c r="O82" s="59"/>
    </row>
    <row r="83" spans="7:15">
      <c r="G83" s="59"/>
      <c r="I83" s="59"/>
      <c r="M83" s="59"/>
      <c r="N83" s="59"/>
      <c r="O83" s="59"/>
    </row>
    <row r="84" spans="7:15">
      <c r="G84" s="59"/>
      <c r="I84" s="59"/>
      <c r="M84" s="59"/>
      <c r="N84" s="59"/>
      <c r="O84" s="59"/>
    </row>
    <row r="85" spans="7:15">
      <c r="M85" s="59"/>
      <c r="N85" s="59"/>
      <c r="O85" s="59"/>
    </row>
    <row r="86" spans="7:15">
      <c r="M86" s="59"/>
      <c r="N86" s="59"/>
      <c r="O86" s="59"/>
    </row>
    <row r="87" spans="7:15">
      <c r="M87" s="59"/>
      <c r="N87" s="59"/>
      <c r="O87" s="59"/>
    </row>
    <row r="88" spans="7:15">
      <c r="M88" s="59"/>
      <c r="N88" s="59"/>
      <c r="O88" s="59"/>
    </row>
    <row r="89" spans="7:15">
      <c r="M89" s="59"/>
      <c r="N89" s="59"/>
      <c r="O89" s="59"/>
    </row>
  </sheetData>
  <mergeCells count="3">
    <mergeCell ref="A2:D2"/>
    <mergeCell ref="F2:J2"/>
    <mergeCell ref="L2:P2"/>
  </mergeCells>
  <pageMargins left="0.25" right="0.25" top="0.75" bottom="0.75" header="0.3" footer="0.3"/>
  <pageSetup scale="82" orientation="landscape" r:id="rId1"/>
  <ignoredErrors>
    <ignoredError sqref="O9 J15" formulaRange="1"/>
    <ignoredError sqref="J9 P7 I18 F18" 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489C-252E-443A-A927-87CAC4F2A29F}">
  <dimension ref="A1:CS31"/>
  <sheetViews>
    <sheetView topLeftCell="A19" zoomScaleNormal="100" workbookViewId="0">
      <selection activeCell="G6" sqref="G6"/>
    </sheetView>
  </sheetViews>
  <sheetFormatPr defaultRowHeight="15"/>
  <cols>
    <col min="1" max="1" width="21.5703125" bestFit="1" customWidth="1"/>
    <col min="2" max="2" width="12" bestFit="1" customWidth="1"/>
    <col min="3" max="13" width="12.85546875" bestFit="1" customWidth="1"/>
    <col min="14" max="14" width="11.42578125" bestFit="1" customWidth="1"/>
    <col min="15" max="15" width="2.140625" customWidth="1"/>
    <col min="16" max="16" width="18.5703125" customWidth="1"/>
    <col min="17" max="17" width="11.42578125" bestFit="1" customWidth="1"/>
    <col min="18" max="18" width="11.140625" bestFit="1" customWidth="1"/>
    <col min="19" max="19" width="12.85546875" bestFit="1" customWidth="1"/>
    <col min="20" max="20" width="11.42578125" bestFit="1" customWidth="1"/>
  </cols>
  <sheetData>
    <row r="1" spans="1:19" ht="60">
      <c r="B1" s="461"/>
      <c r="C1" s="462" t="s">
        <v>283</v>
      </c>
      <c r="D1" s="462" t="s">
        <v>284</v>
      </c>
      <c r="E1" s="462" t="s">
        <v>285</v>
      </c>
      <c r="F1" s="462" t="s">
        <v>286</v>
      </c>
      <c r="G1" s="462" t="s">
        <v>287</v>
      </c>
      <c r="H1" s="462" t="s">
        <v>288</v>
      </c>
      <c r="I1" s="462" t="s">
        <v>289</v>
      </c>
      <c r="J1" s="462" t="s">
        <v>290</v>
      </c>
      <c r="K1" s="462" t="s">
        <v>291</v>
      </c>
      <c r="L1" s="462" t="s">
        <v>292</v>
      </c>
      <c r="M1" s="463" t="s">
        <v>293</v>
      </c>
      <c r="N1" s="497"/>
      <c r="P1" s="468" t="s">
        <v>294</v>
      </c>
      <c r="Q1" s="497"/>
      <c r="S1" s="468" t="s">
        <v>295</v>
      </c>
    </row>
    <row r="2" spans="1:19">
      <c r="B2" s="464" t="s">
        <v>26</v>
      </c>
      <c r="C2" s="465" t="s">
        <v>296</v>
      </c>
      <c r="D2" s="465" t="s">
        <v>296</v>
      </c>
      <c r="E2" s="465" t="s">
        <v>296</v>
      </c>
      <c r="F2" s="465" t="s">
        <v>296</v>
      </c>
      <c r="G2" s="465" t="s">
        <v>296</v>
      </c>
      <c r="H2" s="465" t="s">
        <v>296</v>
      </c>
      <c r="I2" s="465" t="s">
        <v>296</v>
      </c>
      <c r="J2" s="465" t="s">
        <v>296</v>
      </c>
      <c r="K2" s="465" t="s">
        <v>296</v>
      </c>
      <c r="L2" s="465" t="s">
        <v>296</v>
      </c>
      <c r="M2" s="466" t="s">
        <v>296</v>
      </c>
      <c r="N2" s="467"/>
      <c r="P2" s="469" t="s">
        <v>296</v>
      </c>
      <c r="Q2" s="467"/>
      <c r="S2" s="469" t="s">
        <v>296</v>
      </c>
    </row>
    <row r="3" spans="1:19">
      <c r="A3" s="781" t="s">
        <v>297</v>
      </c>
      <c r="B3" s="483">
        <v>6.14</v>
      </c>
      <c r="C3" s="484">
        <v>926</v>
      </c>
      <c r="D3" s="484">
        <v>186</v>
      </c>
      <c r="E3" s="484"/>
      <c r="F3" s="484"/>
      <c r="G3" s="484"/>
      <c r="H3" s="484"/>
      <c r="I3" s="484"/>
      <c r="J3" s="484"/>
      <c r="K3" s="484"/>
      <c r="L3" s="484"/>
      <c r="M3" s="485">
        <v>12332</v>
      </c>
      <c r="N3" s="498"/>
      <c r="O3" s="481"/>
      <c r="P3" s="486">
        <v>50947</v>
      </c>
      <c r="Q3" s="498"/>
      <c r="R3" s="481"/>
      <c r="S3" s="486">
        <v>582</v>
      </c>
    </row>
    <row r="4" spans="1:19">
      <c r="A4" s="781"/>
      <c r="B4" s="483">
        <v>7.52</v>
      </c>
      <c r="C4" s="484">
        <v>2318</v>
      </c>
      <c r="D4" s="484">
        <v>530</v>
      </c>
      <c r="E4" s="484">
        <v>1539</v>
      </c>
      <c r="F4" s="484"/>
      <c r="G4" s="484"/>
      <c r="H4" s="484"/>
      <c r="I4" s="484"/>
      <c r="J4" s="484">
        <v>8851</v>
      </c>
      <c r="K4" s="484"/>
      <c r="L4" s="484"/>
      <c r="M4" s="485">
        <v>36851</v>
      </c>
      <c r="N4" s="498"/>
      <c r="O4" s="481"/>
      <c r="P4" s="486">
        <v>55291</v>
      </c>
      <c r="Q4" s="498"/>
      <c r="R4" s="481"/>
      <c r="S4" s="486">
        <v>513</v>
      </c>
    </row>
    <row r="5" spans="1:19">
      <c r="A5" s="781"/>
      <c r="B5" s="487">
        <v>7.27</v>
      </c>
      <c r="C5" s="488">
        <v>755</v>
      </c>
      <c r="D5" s="488">
        <v>546</v>
      </c>
      <c r="E5" s="488">
        <v>5697</v>
      </c>
      <c r="F5" s="488"/>
      <c r="G5" s="488"/>
      <c r="H5" s="488"/>
      <c r="I5" s="488"/>
      <c r="J5" s="488"/>
      <c r="K5" s="488"/>
      <c r="L5" s="488"/>
      <c r="M5" s="489">
        <v>14024</v>
      </c>
      <c r="N5" s="498"/>
      <c r="O5" s="481"/>
      <c r="P5" s="490">
        <v>96670</v>
      </c>
      <c r="Q5" s="498"/>
      <c r="R5" s="481"/>
      <c r="S5" s="490">
        <v>337</v>
      </c>
    </row>
    <row r="6" spans="1:19">
      <c r="A6" s="781"/>
      <c r="B6" s="509">
        <v>14.0693557692308</v>
      </c>
      <c r="C6" s="484">
        <v>920</v>
      </c>
      <c r="D6" s="484"/>
      <c r="E6" s="484">
        <v>5224</v>
      </c>
      <c r="F6" s="484"/>
      <c r="G6" s="484"/>
      <c r="H6" s="484"/>
      <c r="I6" s="484"/>
      <c r="J6" s="484">
        <v>51877</v>
      </c>
      <c r="K6" s="484"/>
      <c r="L6" s="484"/>
      <c r="M6" s="485">
        <v>36903</v>
      </c>
      <c r="N6" s="498"/>
      <c r="O6" s="481"/>
      <c r="P6" s="486">
        <v>56317</v>
      </c>
      <c r="Q6" s="498"/>
      <c r="R6" s="481"/>
      <c r="S6" s="486">
        <v>88</v>
      </c>
    </row>
    <row r="7" spans="1:19">
      <c r="A7" s="781"/>
      <c r="B7" s="483">
        <v>5.1470000000000002</v>
      </c>
      <c r="C7" s="484">
        <v>417.5</v>
      </c>
      <c r="D7" s="484">
        <v>1473.89</v>
      </c>
      <c r="E7" s="484"/>
      <c r="F7" s="484"/>
      <c r="G7" s="484"/>
      <c r="H7" s="484"/>
      <c r="I7" s="484"/>
      <c r="J7" s="484"/>
      <c r="K7" s="484"/>
      <c r="L7" s="484"/>
      <c r="M7" s="485">
        <v>1835.81</v>
      </c>
      <c r="N7" s="498"/>
      <c r="O7" s="481"/>
      <c r="P7" s="486">
        <v>15832.92</v>
      </c>
      <c r="Q7" s="498"/>
      <c r="R7" s="481"/>
      <c r="S7" s="486">
        <v>51.64</v>
      </c>
    </row>
    <row r="8" spans="1:19">
      <c r="A8" s="781"/>
      <c r="B8" s="483">
        <v>2.5299999999999998</v>
      </c>
      <c r="C8" s="484">
        <v>887</v>
      </c>
      <c r="D8" s="484"/>
      <c r="E8" s="484">
        <v>1214</v>
      </c>
      <c r="F8" s="484">
        <v>4512</v>
      </c>
      <c r="G8" s="484"/>
      <c r="H8" s="484"/>
      <c r="I8" s="484"/>
      <c r="J8" s="484"/>
      <c r="K8" s="484"/>
      <c r="L8" s="484"/>
      <c r="M8" s="485">
        <v>19417</v>
      </c>
      <c r="N8" s="498"/>
      <c r="O8" s="481"/>
      <c r="P8" s="486">
        <v>44770</v>
      </c>
      <c r="Q8" s="498"/>
      <c r="R8" s="481"/>
      <c r="S8" s="486">
        <v>159</v>
      </c>
    </row>
    <row r="9" spans="1:19">
      <c r="A9" s="781"/>
      <c r="B9" s="483">
        <v>6.06</v>
      </c>
      <c r="C9" s="484">
        <v>205</v>
      </c>
      <c r="D9" s="484">
        <v>7904</v>
      </c>
      <c r="E9" s="484">
        <v>2805</v>
      </c>
      <c r="F9" s="484"/>
      <c r="G9" s="484"/>
      <c r="H9" s="484"/>
      <c r="I9" s="484"/>
      <c r="J9" s="484">
        <v>3762</v>
      </c>
      <c r="K9" s="484"/>
      <c r="L9" s="484"/>
      <c r="M9" s="485">
        <v>2330</v>
      </c>
      <c r="N9" s="498"/>
      <c r="O9" s="481"/>
      <c r="P9" s="486">
        <v>34590</v>
      </c>
      <c r="Q9" s="498"/>
      <c r="R9" s="481"/>
      <c r="S9" s="486">
        <v>80</v>
      </c>
    </row>
    <row r="10" spans="1:19">
      <c r="A10" s="781"/>
      <c r="B10" s="487">
        <v>5.61</v>
      </c>
      <c r="C10" s="488">
        <v>916</v>
      </c>
      <c r="D10" s="488">
        <v>4693</v>
      </c>
      <c r="E10" s="488">
        <v>1307</v>
      </c>
      <c r="F10" s="488"/>
      <c r="G10" s="488"/>
      <c r="H10" s="488"/>
      <c r="I10" s="488"/>
      <c r="J10" s="488">
        <v>174</v>
      </c>
      <c r="K10" s="488"/>
      <c r="L10" s="488"/>
      <c r="M10" s="489">
        <v>628</v>
      </c>
      <c r="N10" s="498"/>
      <c r="O10" s="481"/>
      <c r="P10" s="490">
        <v>34756</v>
      </c>
      <c r="Q10" s="498"/>
      <c r="R10" s="481"/>
      <c r="S10" s="490">
        <v>200</v>
      </c>
    </row>
    <row r="11" spans="1:19">
      <c r="A11" s="781"/>
      <c r="B11" s="483">
        <v>4.93</v>
      </c>
      <c r="C11" s="484">
        <v>3540</v>
      </c>
      <c r="D11" s="484">
        <v>7870</v>
      </c>
      <c r="E11" s="484">
        <v>9960</v>
      </c>
      <c r="F11" s="484"/>
      <c r="G11" s="484"/>
      <c r="H11" s="484">
        <v>385</v>
      </c>
      <c r="I11" s="484"/>
      <c r="J11" s="484">
        <v>23892</v>
      </c>
      <c r="K11" s="484"/>
      <c r="L11" s="484"/>
      <c r="M11" s="485">
        <v>5980</v>
      </c>
      <c r="N11" s="498"/>
      <c r="O11" s="481"/>
      <c r="P11" s="486">
        <v>44795</v>
      </c>
      <c r="Q11" s="498"/>
      <c r="R11" s="481"/>
      <c r="S11" s="486">
        <v>585</v>
      </c>
    </row>
    <row r="12" spans="1:19">
      <c r="A12" s="781"/>
      <c r="B12" s="483">
        <v>5.55</v>
      </c>
      <c r="C12" s="484">
        <v>1105</v>
      </c>
      <c r="D12" s="484"/>
      <c r="E12" s="484">
        <v>27</v>
      </c>
      <c r="F12" s="484"/>
      <c r="G12" s="484"/>
      <c r="H12" s="484"/>
      <c r="I12" s="484"/>
      <c r="J12" s="484"/>
      <c r="K12" s="484"/>
      <c r="L12" s="484"/>
      <c r="M12" s="485">
        <v>24463</v>
      </c>
      <c r="N12" s="498"/>
      <c r="O12" s="481"/>
      <c r="P12" s="486">
        <v>43429</v>
      </c>
      <c r="Q12" s="498"/>
      <c r="R12" s="481"/>
      <c r="S12" s="486"/>
    </row>
    <row r="13" spans="1:19">
      <c r="A13" s="781"/>
      <c r="B13" s="483">
        <v>6.15</v>
      </c>
      <c r="C13" s="484">
        <v>1809</v>
      </c>
      <c r="D13" s="484"/>
      <c r="E13" s="484"/>
      <c r="F13" s="484"/>
      <c r="G13" s="484"/>
      <c r="H13" s="484"/>
      <c r="I13" s="484"/>
      <c r="J13" s="484">
        <v>96890</v>
      </c>
      <c r="K13" s="484"/>
      <c r="L13" s="484"/>
      <c r="M13" s="485">
        <v>44273</v>
      </c>
      <c r="N13" s="498"/>
      <c r="O13" s="481"/>
      <c r="P13" s="486">
        <v>68521</v>
      </c>
      <c r="Q13" s="498"/>
      <c r="R13" s="481"/>
      <c r="S13" s="486">
        <v>739</v>
      </c>
    </row>
    <row r="14" spans="1:19">
      <c r="A14" s="781"/>
      <c r="B14" s="483">
        <v>4.45</v>
      </c>
      <c r="C14" s="484">
        <v>192</v>
      </c>
      <c r="D14" s="484"/>
      <c r="E14" s="484"/>
      <c r="F14" s="484"/>
      <c r="G14" s="484"/>
      <c r="H14" s="484"/>
      <c r="I14" s="484"/>
      <c r="J14" s="484"/>
      <c r="K14" s="484"/>
      <c r="L14" s="484"/>
      <c r="M14" s="485">
        <v>70104</v>
      </c>
      <c r="N14" s="498"/>
      <c r="O14" s="481"/>
      <c r="P14" s="486">
        <v>90331</v>
      </c>
      <c r="Q14" s="498"/>
      <c r="R14" s="481"/>
      <c r="S14" s="486">
        <v>1025</v>
      </c>
    </row>
    <row r="15" spans="1:19">
      <c r="A15" s="781"/>
      <c r="B15" s="483">
        <v>9.07</v>
      </c>
      <c r="C15" s="484">
        <v>345</v>
      </c>
      <c r="D15" s="484"/>
      <c r="E15" s="484"/>
      <c r="F15" s="484"/>
      <c r="G15" s="484"/>
      <c r="H15" s="484"/>
      <c r="I15" s="484"/>
      <c r="J15" s="484"/>
      <c r="K15" s="484"/>
      <c r="L15" s="484"/>
      <c r="M15" s="485">
        <v>14535</v>
      </c>
      <c r="N15" s="498"/>
      <c r="O15" s="481"/>
      <c r="P15" s="486">
        <v>82211</v>
      </c>
      <c r="Q15" s="498"/>
      <c r="R15" s="481"/>
      <c r="S15" s="486"/>
    </row>
    <row r="16" spans="1:19">
      <c r="A16" s="781"/>
      <c r="B16" s="509">
        <v>16.3125</v>
      </c>
      <c r="C16" s="484">
        <v>9637</v>
      </c>
      <c r="D16" s="484">
        <v>8839</v>
      </c>
      <c r="E16" s="484"/>
      <c r="F16" s="484"/>
      <c r="G16" s="484"/>
      <c r="H16" s="484"/>
      <c r="I16" s="484"/>
      <c r="J16" s="484"/>
      <c r="K16" s="484"/>
      <c r="L16" s="484"/>
      <c r="M16" s="485">
        <v>100230</v>
      </c>
      <c r="N16" s="498"/>
      <c r="O16" s="481"/>
      <c r="P16" s="486">
        <v>124427</v>
      </c>
      <c r="Q16" s="498"/>
      <c r="R16" s="481"/>
      <c r="S16" s="486">
        <v>2495</v>
      </c>
    </row>
    <row r="17" spans="1:97">
      <c r="A17" s="781"/>
      <c r="B17" s="483">
        <v>11.15</v>
      </c>
      <c r="C17" s="484">
        <v>157</v>
      </c>
      <c r="D17" s="484">
        <v>70081</v>
      </c>
      <c r="E17" s="484"/>
      <c r="F17" s="484">
        <v>6815</v>
      </c>
      <c r="G17" s="484"/>
      <c r="H17" s="484"/>
      <c r="I17" s="484">
        <v>6619</v>
      </c>
      <c r="J17" s="484"/>
      <c r="K17" s="484"/>
      <c r="L17" s="484"/>
      <c r="M17" s="485">
        <v>14600</v>
      </c>
      <c r="N17" s="498"/>
      <c r="O17" s="481"/>
      <c r="P17" s="486">
        <v>235164</v>
      </c>
      <c r="Q17" s="498"/>
      <c r="R17" s="481"/>
      <c r="S17" s="486">
        <v>1000</v>
      </c>
      <c r="CS17" s="481"/>
    </row>
    <row r="18" spans="1:97">
      <c r="A18" s="782" t="s">
        <v>298</v>
      </c>
      <c r="B18" s="510">
        <v>0.27327403846153803</v>
      </c>
      <c r="C18" s="460">
        <v>9</v>
      </c>
      <c r="D18" s="460"/>
      <c r="E18" s="460"/>
      <c r="F18" s="460"/>
      <c r="G18" s="460"/>
      <c r="H18" s="460"/>
      <c r="I18" s="460"/>
      <c r="J18" s="460">
        <v>70813</v>
      </c>
      <c r="K18" s="460"/>
      <c r="L18" s="460"/>
      <c r="M18" s="471">
        <v>1721</v>
      </c>
      <c r="N18" s="499"/>
      <c r="O18" s="472"/>
      <c r="P18" s="473">
        <v>531</v>
      </c>
      <c r="Q18" s="499"/>
      <c r="R18" s="472"/>
      <c r="S18" s="473">
        <v>19</v>
      </c>
    </row>
    <row r="19" spans="1:97">
      <c r="A19" s="783"/>
      <c r="B19" s="470">
        <v>4.5</v>
      </c>
      <c r="C19" s="460"/>
      <c r="D19" s="460">
        <v>4919.91</v>
      </c>
      <c r="E19" s="460"/>
      <c r="F19" s="460"/>
      <c r="G19" s="460"/>
      <c r="H19" s="460"/>
      <c r="I19" s="460"/>
      <c r="J19" s="460">
        <v>3010</v>
      </c>
      <c r="K19" s="460"/>
      <c r="L19" s="460"/>
      <c r="M19" s="471">
        <v>5417.77</v>
      </c>
      <c r="N19" s="499"/>
      <c r="O19" s="472"/>
      <c r="P19" s="473">
        <v>36513.75</v>
      </c>
      <c r="Q19" s="499"/>
      <c r="R19" s="472"/>
      <c r="S19" s="473">
        <v>164.03</v>
      </c>
    </row>
    <row r="20" spans="1:97">
      <c r="A20" s="783"/>
      <c r="B20" s="470">
        <v>2.5299999999999998</v>
      </c>
      <c r="C20" s="460">
        <v>887</v>
      </c>
      <c r="D20" s="460"/>
      <c r="E20" s="460">
        <v>1214</v>
      </c>
      <c r="F20" s="460">
        <v>4512</v>
      </c>
      <c r="G20" s="460"/>
      <c r="H20" s="460"/>
      <c r="I20" s="460"/>
      <c r="J20" s="460"/>
      <c r="K20" s="460"/>
      <c r="L20" s="460"/>
      <c r="M20" s="471">
        <v>19417</v>
      </c>
      <c r="N20" s="499"/>
      <c r="O20" s="472"/>
      <c r="P20" s="473">
        <v>44770</v>
      </c>
      <c r="Q20" s="499"/>
      <c r="R20" s="472"/>
      <c r="S20" s="473">
        <v>159</v>
      </c>
    </row>
    <row r="21" spans="1:97">
      <c r="A21" s="783"/>
      <c r="B21" s="470">
        <v>1.01</v>
      </c>
      <c r="C21" s="460">
        <v>310</v>
      </c>
      <c r="D21" s="460">
        <v>700</v>
      </c>
      <c r="E21" s="460">
        <v>1157</v>
      </c>
      <c r="F21" s="460"/>
      <c r="G21" s="460"/>
      <c r="H21" s="460"/>
      <c r="I21" s="460"/>
      <c r="J21" s="460">
        <v>102771</v>
      </c>
      <c r="K21" s="460"/>
      <c r="L21" s="460"/>
      <c r="M21" s="471">
        <v>183</v>
      </c>
      <c r="N21" s="499"/>
      <c r="O21" s="472"/>
      <c r="P21" s="473">
        <v>4942</v>
      </c>
      <c r="Q21" s="499"/>
      <c r="R21" s="472"/>
      <c r="S21" s="473">
        <v>1977</v>
      </c>
    </row>
    <row r="22" spans="1:97">
      <c r="A22" s="783"/>
      <c r="B22" s="470">
        <v>1.35</v>
      </c>
      <c r="C22" s="460"/>
      <c r="D22" s="460">
        <v>250</v>
      </c>
      <c r="E22" s="460">
        <v>82</v>
      </c>
      <c r="F22" s="460"/>
      <c r="G22" s="460"/>
      <c r="H22" s="460">
        <v>625</v>
      </c>
      <c r="I22" s="460"/>
      <c r="J22" s="460">
        <v>205</v>
      </c>
      <c r="K22" s="460"/>
      <c r="L22" s="460"/>
      <c r="M22" s="471">
        <v>1558</v>
      </c>
      <c r="N22" s="499"/>
      <c r="O22" s="472"/>
      <c r="P22" s="473">
        <v>45262</v>
      </c>
      <c r="Q22" s="499"/>
      <c r="R22" s="472"/>
      <c r="S22" s="473"/>
    </row>
    <row r="23" spans="1:97">
      <c r="A23" s="783"/>
      <c r="B23" s="470">
        <v>1.81</v>
      </c>
      <c r="C23" s="460">
        <v>24</v>
      </c>
      <c r="D23" s="460"/>
      <c r="E23" s="460"/>
      <c r="F23" s="460"/>
      <c r="G23" s="460"/>
      <c r="H23" s="460"/>
      <c r="I23" s="460"/>
      <c r="J23" s="460"/>
      <c r="K23" s="460"/>
      <c r="L23" s="460"/>
      <c r="M23" s="471">
        <v>5601</v>
      </c>
      <c r="N23" s="499"/>
      <c r="O23" s="472"/>
      <c r="P23" s="473">
        <v>6133</v>
      </c>
      <c r="Q23" s="499"/>
      <c r="R23" s="472"/>
      <c r="S23" s="473"/>
    </row>
    <row r="24" spans="1:97">
      <c r="A24" s="783"/>
      <c r="B24" s="470">
        <v>1.97</v>
      </c>
      <c r="C24" s="460"/>
      <c r="D24" s="460"/>
      <c r="E24" s="460"/>
      <c r="F24" s="460">
        <v>114</v>
      </c>
      <c r="G24" s="460"/>
      <c r="H24" s="460"/>
      <c r="I24" s="460"/>
      <c r="J24" s="460"/>
      <c r="K24" s="460"/>
      <c r="L24" s="460"/>
      <c r="M24" s="471">
        <v>303</v>
      </c>
      <c r="N24" s="499"/>
      <c r="O24" s="472"/>
      <c r="P24" s="473">
        <v>23564</v>
      </c>
      <c r="Q24" s="499"/>
      <c r="R24" s="472"/>
      <c r="S24" s="473">
        <v>80</v>
      </c>
    </row>
    <row r="25" spans="1:97">
      <c r="A25" s="783"/>
      <c r="B25" s="470">
        <v>3.35</v>
      </c>
      <c r="C25" s="460">
        <v>4408</v>
      </c>
      <c r="D25" s="460"/>
      <c r="E25" s="460">
        <v>2138</v>
      </c>
      <c r="F25" s="460"/>
      <c r="G25" s="460"/>
      <c r="H25" s="460"/>
      <c r="I25" s="460">
        <v>2619</v>
      </c>
      <c r="J25" s="460">
        <v>245919</v>
      </c>
      <c r="K25" s="460"/>
      <c r="L25" s="460"/>
      <c r="M25" s="471"/>
      <c r="N25" s="499"/>
      <c r="O25" s="472"/>
      <c r="P25" s="473">
        <v>26092</v>
      </c>
      <c r="Q25" s="499"/>
      <c r="R25" s="472"/>
      <c r="S25" s="473">
        <v>460</v>
      </c>
    </row>
    <row r="26" spans="1:97" ht="15.75" thickBot="1">
      <c r="A26" s="508" t="s">
        <v>299</v>
      </c>
      <c r="B26" s="476">
        <v>5.63</v>
      </c>
      <c r="C26" s="477">
        <v>520</v>
      </c>
      <c r="D26" s="477">
        <v>9387</v>
      </c>
      <c r="E26" s="477">
        <v>970</v>
      </c>
      <c r="F26" s="477"/>
      <c r="G26" s="477"/>
      <c r="H26" s="477"/>
      <c r="I26" s="477"/>
      <c r="J26" s="477">
        <v>403</v>
      </c>
      <c r="K26" s="477"/>
      <c r="L26" s="477"/>
      <c r="M26" s="478">
        <v>4120</v>
      </c>
      <c r="N26" s="500"/>
      <c r="O26" s="475"/>
      <c r="P26" s="479">
        <v>65490</v>
      </c>
      <c r="Q26" s="500"/>
      <c r="R26" s="475"/>
      <c r="S26" s="479">
        <v>120</v>
      </c>
    </row>
    <row r="28" spans="1:97" ht="15.75" thickBot="1">
      <c r="A28" s="467" t="s">
        <v>300</v>
      </c>
      <c r="B28" s="467" t="s">
        <v>301</v>
      </c>
      <c r="N28" s="501" t="s">
        <v>302</v>
      </c>
      <c r="Q28" s="501" t="s">
        <v>302</v>
      </c>
      <c r="R28" s="501" t="s">
        <v>303</v>
      </c>
      <c r="T28" s="501" t="s">
        <v>302</v>
      </c>
    </row>
    <row r="29" spans="1:97" ht="15.75" thickBot="1">
      <c r="A29" s="482">
        <v>67160</v>
      </c>
      <c r="B29" s="502">
        <v>111.95885576923081</v>
      </c>
      <c r="C29" s="491">
        <v>24129.5</v>
      </c>
      <c r="D29" s="491">
        <v>102122.89</v>
      </c>
      <c r="E29" s="491">
        <v>27773</v>
      </c>
      <c r="F29" s="491">
        <v>11327</v>
      </c>
      <c r="G29" s="491">
        <v>0</v>
      </c>
      <c r="H29" s="491">
        <v>385</v>
      </c>
      <c r="I29" s="491">
        <v>6619</v>
      </c>
      <c r="J29" s="491">
        <v>185446</v>
      </c>
      <c r="K29" s="491">
        <v>0</v>
      </c>
      <c r="L29" s="491">
        <v>0</v>
      </c>
      <c r="M29" s="494">
        <v>398505.81</v>
      </c>
      <c r="N29" s="505">
        <f>SUM(C29:M30)/A29</f>
        <v>18.421618225134008</v>
      </c>
      <c r="O29" s="481"/>
      <c r="P29" s="494">
        <v>1078051.92</v>
      </c>
      <c r="Q29" s="505">
        <f>SUM(P3:P17)/A29</f>
        <v>16.051994044073851</v>
      </c>
      <c r="R29" s="481"/>
      <c r="S29" s="494">
        <v>7854.64</v>
      </c>
      <c r="T29" s="505">
        <f>SUM(S3:S17)/A29</f>
        <v>0.11695413936867183</v>
      </c>
      <c r="BJ29" s="481"/>
      <c r="BK29" s="481"/>
      <c r="BL29" s="481"/>
      <c r="BM29" s="481"/>
      <c r="BN29" s="481"/>
      <c r="BO29" s="481"/>
      <c r="BP29" s="481"/>
      <c r="BQ29" s="481"/>
      <c r="BR29" s="481"/>
      <c r="BS29" s="481"/>
      <c r="BT29" s="481"/>
      <c r="BU29" s="481"/>
      <c r="BV29" s="481"/>
      <c r="BW29" s="481"/>
      <c r="BX29" s="481"/>
      <c r="BY29" s="481"/>
      <c r="BZ29" s="481"/>
      <c r="CA29" s="481"/>
      <c r="CB29" s="481"/>
      <c r="CC29" s="481"/>
      <c r="CD29" s="481"/>
      <c r="CE29" s="481"/>
      <c r="CF29" s="481"/>
      <c r="CG29" s="481"/>
      <c r="CH29" s="481"/>
      <c r="CI29" s="481"/>
      <c r="CJ29" s="481"/>
      <c r="CK29" s="481"/>
      <c r="CL29" s="481"/>
      <c r="CM29" s="481"/>
      <c r="CN29" s="481"/>
      <c r="CO29" s="481"/>
      <c r="CP29" s="481"/>
      <c r="CQ29" s="481"/>
      <c r="CR29" s="481"/>
      <c r="CS29" s="481"/>
    </row>
    <row r="30" spans="1:97" ht="15.75" thickBot="1">
      <c r="A30" s="480">
        <v>25550</v>
      </c>
      <c r="B30" s="503">
        <v>16.79327403846154</v>
      </c>
      <c r="C30" s="492">
        <v>5638</v>
      </c>
      <c r="D30" s="492">
        <v>5869.91</v>
      </c>
      <c r="E30" s="492">
        <v>4591</v>
      </c>
      <c r="F30" s="492">
        <v>4626</v>
      </c>
      <c r="G30" s="492">
        <v>0</v>
      </c>
      <c r="H30" s="492">
        <v>625</v>
      </c>
      <c r="I30" s="492">
        <v>2619</v>
      </c>
      <c r="J30" s="492">
        <v>422718</v>
      </c>
      <c r="K30" s="492">
        <v>0</v>
      </c>
      <c r="L30" s="492">
        <v>0</v>
      </c>
      <c r="M30" s="495">
        <v>34200.770000000004</v>
      </c>
      <c r="N30" s="506">
        <f>SUM(C30:M30)/A30</f>
        <v>18.821435616438357</v>
      </c>
      <c r="O30" s="472"/>
      <c r="P30" s="495">
        <v>187807.75</v>
      </c>
      <c r="Q30" s="506">
        <f>SUM(P18:P25)/A30</f>
        <v>7.3505968688845398</v>
      </c>
      <c r="R30" s="455">
        <f>P30/B30</f>
        <v>11183.510110646976</v>
      </c>
      <c r="S30" s="495">
        <v>2859.0299999999997</v>
      </c>
      <c r="T30" s="506">
        <f>SUM(S18:S25)/A30</f>
        <v>0.11189941291585126</v>
      </c>
      <c r="BJ30" s="472"/>
      <c r="BK30" s="472"/>
      <c r="BL30" s="472"/>
      <c r="BM30" s="472"/>
      <c r="BN30" s="472"/>
      <c r="BO30" s="472"/>
      <c r="BP30" s="472"/>
      <c r="BQ30" s="472"/>
      <c r="BR30" s="472"/>
      <c r="BS30" s="472"/>
      <c r="BT30" s="472"/>
      <c r="BU30" s="472"/>
      <c r="BV30" s="472"/>
      <c r="BW30" s="472"/>
      <c r="BX30" s="472"/>
      <c r="BY30" s="472"/>
      <c r="BZ30" s="472"/>
      <c r="CA30" s="472"/>
      <c r="CB30" s="472"/>
      <c r="CC30" s="472"/>
      <c r="CD30" s="472"/>
      <c r="CE30" s="472"/>
      <c r="CF30" s="472"/>
      <c r="CG30" s="472"/>
      <c r="CH30" s="472"/>
      <c r="CI30" s="472"/>
      <c r="CJ30" s="472"/>
      <c r="CK30" s="472"/>
      <c r="CL30" s="472"/>
      <c r="CM30" s="472"/>
      <c r="CN30" s="472"/>
      <c r="CO30" s="472"/>
      <c r="CP30" s="472"/>
      <c r="CQ30" s="472"/>
      <c r="CR30" s="472"/>
      <c r="CS30" s="472"/>
    </row>
    <row r="31" spans="1:97" ht="15.75" thickBot="1">
      <c r="A31" s="474">
        <v>2920</v>
      </c>
      <c r="B31" s="504">
        <v>5.63</v>
      </c>
      <c r="C31" s="493">
        <v>520</v>
      </c>
      <c r="D31" s="493">
        <v>9387</v>
      </c>
      <c r="E31" s="493">
        <v>970</v>
      </c>
      <c r="F31" s="493">
        <v>0</v>
      </c>
      <c r="G31" s="493">
        <v>0</v>
      </c>
      <c r="H31" s="493">
        <v>0</v>
      </c>
      <c r="I31" s="493">
        <v>0</v>
      </c>
      <c r="J31" s="493">
        <v>403</v>
      </c>
      <c r="K31" s="493">
        <v>0</v>
      </c>
      <c r="L31" s="493">
        <v>0</v>
      </c>
      <c r="M31" s="496">
        <v>4120</v>
      </c>
      <c r="N31" s="507">
        <f>SUM(C31:M31)/A31</f>
        <v>5.2739726027397262</v>
      </c>
      <c r="O31" s="475"/>
      <c r="P31" s="496">
        <v>65490</v>
      </c>
      <c r="Q31" s="507">
        <f>P26/A31</f>
        <v>22.42808219178082</v>
      </c>
      <c r="R31" s="475"/>
      <c r="S31" s="496">
        <v>120</v>
      </c>
      <c r="T31" s="507">
        <f>SUM(S26)/A31</f>
        <v>4.1095890410958902E-2</v>
      </c>
      <c r="BJ31" s="475"/>
      <c r="BK31" s="475"/>
      <c r="BL31" s="475"/>
      <c r="BM31" s="475"/>
      <c r="BN31" s="475"/>
      <c r="BO31" s="475"/>
      <c r="BP31" s="475"/>
      <c r="BQ31" s="475"/>
      <c r="BR31" s="475"/>
      <c r="BS31" s="475"/>
      <c r="BT31" s="475"/>
      <c r="BU31" s="475"/>
      <c r="BV31" s="475"/>
      <c r="BW31" s="475"/>
      <c r="BX31" s="475"/>
      <c r="BY31" s="475"/>
      <c r="BZ31" s="475"/>
      <c r="CA31" s="475"/>
      <c r="CB31" s="475"/>
      <c r="CC31" s="475"/>
      <c r="CD31" s="475"/>
      <c r="CE31" s="475"/>
      <c r="CF31" s="475"/>
      <c r="CG31" s="475"/>
      <c r="CH31" s="475"/>
      <c r="CI31" s="475"/>
      <c r="CJ31" s="475"/>
      <c r="CK31" s="475"/>
      <c r="CL31" s="475"/>
      <c r="CM31" s="475"/>
      <c r="CN31" s="475"/>
      <c r="CO31" s="475"/>
      <c r="CP31" s="475"/>
      <c r="CQ31" s="475"/>
      <c r="CR31" s="475"/>
      <c r="CS31" s="475"/>
    </row>
  </sheetData>
  <mergeCells count="2">
    <mergeCell ref="A3:A17"/>
    <mergeCell ref="A18:A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1"/>
  <sheetViews>
    <sheetView zoomScaleNormal="100" workbookViewId="0">
      <selection activeCell="B29" sqref="B29"/>
    </sheetView>
  </sheetViews>
  <sheetFormatPr defaultRowHeight="15"/>
  <cols>
    <col min="1" max="1" width="21.5703125" bestFit="1" customWidth="1"/>
    <col min="2" max="2" width="12" bestFit="1" customWidth="1"/>
    <col min="3" max="13" width="12.85546875" bestFit="1" customWidth="1"/>
    <col min="14" max="14" width="11.42578125" bestFit="1" customWidth="1"/>
    <col min="15" max="15" width="2.140625" customWidth="1"/>
    <col min="16" max="16" width="18.5703125" customWidth="1"/>
    <col min="17" max="17" width="11.42578125" bestFit="1" customWidth="1"/>
    <col min="18" max="18" width="11.140625" bestFit="1" customWidth="1"/>
    <col min="19" max="19" width="12.85546875" bestFit="1" customWidth="1"/>
    <col min="20" max="20" width="9.42578125" customWidth="1"/>
    <col min="21" max="21" width="35.5703125" customWidth="1"/>
  </cols>
  <sheetData>
    <row r="1" spans="1:21" ht="60">
      <c r="B1" s="461"/>
      <c r="C1" s="462" t="s">
        <v>283</v>
      </c>
      <c r="D1" s="462" t="s">
        <v>284</v>
      </c>
      <c r="E1" s="462" t="s">
        <v>285</v>
      </c>
      <c r="F1" s="462" t="s">
        <v>286</v>
      </c>
      <c r="G1" s="462" t="s">
        <v>287</v>
      </c>
      <c r="H1" s="462" t="s">
        <v>288</v>
      </c>
      <c r="I1" s="462" t="s">
        <v>289</v>
      </c>
      <c r="J1" s="462" t="s">
        <v>290</v>
      </c>
      <c r="K1" s="462" t="s">
        <v>291</v>
      </c>
      <c r="L1" s="462" t="s">
        <v>292</v>
      </c>
      <c r="M1" s="463" t="s">
        <v>293</v>
      </c>
      <c r="N1" s="497"/>
      <c r="P1" s="468" t="s">
        <v>294</v>
      </c>
      <c r="Q1" s="497"/>
      <c r="S1" s="468" t="s">
        <v>295</v>
      </c>
    </row>
    <row r="2" spans="1:21" ht="15.75" thickBot="1">
      <c r="B2" s="464" t="s">
        <v>26</v>
      </c>
      <c r="C2" s="465" t="s">
        <v>296</v>
      </c>
      <c r="D2" s="465" t="s">
        <v>296</v>
      </c>
      <c r="E2" s="465" t="s">
        <v>296</v>
      </c>
      <c r="F2" s="465" t="s">
        <v>296</v>
      </c>
      <c r="G2" s="465" t="s">
        <v>296</v>
      </c>
      <c r="H2" s="465" t="s">
        <v>296</v>
      </c>
      <c r="I2" s="465" t="s">
        <v>296</v>
      </c>
      <c r="J2" s="465" t="s">
        <v>296</v>
      </c>
      <c r="K2" s="465" t="s">
        <v>296</v>
      </c>
      <c r="L2" s="465" t="s">
        <v>296</v>
      </c>
      <c r="M2" s="466" t="s">
        <v>296</v>
      </c>
      <c r="N2" s="467"/>
      <c r="P2" s="469" t="s">
        <v>296</v>
      </c>
      <c r="Q2" s="467"/>
      <c r="S2" s="469" t="s">
        <v>296</v>
      </c>
    </row>
    <row r="3" spans="1:21">
      <c r="A3" s="784" t="s">
        <v>297</v>
      </c>
      <c r="B3" s="708">
        <v>6.06</v>
      </c>
      <c r="C3" s="657">
        <v>2923</v>
      </c>
      <c r="D3" s="658">
        <v>2581</v>
      </c>
      <c r="E3" s="657"/>
      <c r="F3" s="657">
        <v>5</v>
      </c>
      <c r="G3" s="657"/>
      <c r="H3" s="657"/>
      <c r="I3" s="657"/>
      <c r="J3" s="657"/>
      <c r="K3" s="657"/>
      <c r="L3" s="657">
        <v>770</v>
      </c>
      <c r="M3" s="659"/>
      <c r="N3" s="660"/>
      <c r="O3" s="661"/>
      <c r="P3" s="657">
        <v>56840</v>
      </c>
      <c r="Q3" s="662"/>
      <c r="R3" s="663"/>
      <c r="S3" s="664">
        <v>582</v>
      </c>
      <c r="U3" t="s">
        <v>398</v>
      </c>
    </row>
    <row r="4" spans="1:21">
      <c r="A4" s="784"/>
      <c r="B4" s="709">
        <v>8.9700000000000006</v>
      </c>
      <c r="C4" s="665">
        <v>1942</v>
      </c>
      <c r="D4" s="666">
        <v>9804</v>
      </c>
      <c r="E4" s="665">
        <v>5765</v>
      </c>
      <c r="F4" s="665"/>
      <c r="G4" s="665"/>
      <c r="H4" s="665"/>
      <c r="I4" s="665"/>
      <c r="J4" s="665">
        <v>3059</v>
      </c>
      <c r="K4" s="665"/>
      <c r="L4" s="665"/>
      <c r="M4" s="667">
        <v>14037</v>
      </c>
      <c r="N4" s="668"/>
      <c r="O4" s="669"/>
      <c r="P4" s="665">
        <v>83068</v>
      </c>
      <c r="Q4" s="670"/>
      <c r="R4" s="671"/>
      <c r="S4" s="664">
        <v>513</v>
      </c>
      <c r="U4" t="s">
        <v>399</v>
      </c>
    </row>
    <row r="5" spans="1:21">
      <c r="A5" s="784"/>
      <c r="B5" s="709">
        <v>5.23</v>
      </c>
      <c r="C5" s="665">
        <v>40</v>
      </c>
      <c r="D5" s="666">
        <v>16369</v>
      </c>
      <c r="E5" s="665">
        <v>7912</v>
      </c>
      <c r="F5" s="665"/>
      <c r="G5" s="665"/>
      <c r="H5" s="665">
        <v>265</v>
      </c>
      <c r="I5" s="665"/>
      <c r="J5" s="665">
        <v>193749</v>
      </c>
      <c r="K5" s="665"/>
      <c r="L5" s="665"/>
      <c r="M5" s="667">
        <v>1045</v>
      </c>
      <c r="N5" s="668"/>
      <c r="O5" s="669"/>
      <c r="P5" s="665">
        <v>50716</v>
      </c>
      <c r="Q5" s="670"/>
      <c r="R5" s="671"/>
      <c r="S5" s="672">
        <v>337</v>
      </c>
      <c r="U5" t="s">
        <v>400</v>
      </c>
    </row>
    <row r="6" spans="1:21">
      <c r="A6" s="784"/>
      <c r="B6" s="709">
        <v>5.9429999999999996</v>
      </c>
      <c r="C6" s="665">
        <v>1385</v>
      </c>
      <c r="D6" s="666">
        <v>1019</v>
      </c>
      <c r="E6" s="665">
        <v>2936</v>
      </c>
      <c r="F6" s="665"/>
      <c r="G6" s="665"/>
      <c r="H6" s="665"/>
      <c r="I6" s="665"/>
      <c r="J6" s="665"/>
      <c r="K6" s="665"/>
      <c r="L6" s="665"/>
      <c r="M6" s="667">
        <v>93212</v>
      </c>
      <c r="N6" s="668"/>
      <c r="O6" s="669"/>
      <c r="P6" s="665">
        <v>61160</v>
      </c>
      <c r="Q6" s="670"/>
      <c r="R6" s="671"/>
      <c r="S6" s="664">
        <v>88</v>
      </c>
      <c r="U6" t="s">
        <v>401</v>
      </c>
    </row>
    <row r="7" spans="1:21">
      <c r="A7" s="784"/>
      <c r="B7" s="709">
        <v>8.25</v>
      </c>
      <c r="C7" s="665">
        <v>7016</v>
      </c>
      <c r="D7" s="666"/>
      <c r="E7" s="665"/>
      <c r="F7" s="665"/>
      <c r="G7" s="665"/>
      <c r="H7" s="665"/>
      <c r="I7" s="665"/>
      <c r="J7" s="665">
        <v>69241</v>
      </c>
      <c r="K7" s="665"/>
      <c r="L7" s="665"/>
      <c r="M7" s="667">
        <v>27641</v>
      </c>
      <c r="N7" s="668"/>
      <c r="O7" s="669"/>
      <c r="P7" s="665">
        <v>84739</v>
      </c>
      <c r="Q7" s="670"/>
      <c r="R7" s="671"/>
      <c r="S7" s="664">
        <v>51.64</v>
      </c>
      <c r="U7" t="s">
        <v>402</v>
      </c>
    </row>
    <row r="8" spans="1:21">
      <c r="A8" s="784"/>
      <c r="B8" s="709">
        <v>3.06</v>
      </c>
      <c r="C8" s="665">
        <v>192</v>
      </c>
      <c r="D8" s="666"/>
      <c r="E8" s="665"/>
      <c r="F8" s="665"/>
      <c r="G8" s="665"/>
      <c r="H8" s="665"/>
      <c r="I8" s="665"/>
      <c r="J8" s="665"/>
      <c r="K8" s="665"/>
      <c r="L8" s="665"/>
      <c r="M8" s="667">
        <v>36045</v>
      </c>
      <c r="N8" s="668"/>
      <c r="O8" s="669"/>
      <c r="P8" s="665">
        <v>85867</v>
      </c>
      <c r="Q8" s="670"/>
      <c r="R8" s="671"/>
      <c r="S8" s="664">
        <v>159</v>
      </c>
      <c r="U8" t="s">
        <v>403</v>
      </c>
    </row>
    <row r="9" spans="1:21">
      <c r="A9" s="784"/>
      <c r="B9" s="709">
        <v>7.5</v>
      </c>
      <c r="C9" s="665">
        <v>1521</v>
      </c>
      <c r="D9" s="666"/>
      <c r="E9" s="665"/>
      <c r="F9" s="665"/>
      <c r="G9" s="665"/>
      <c r="H9" s="665"/>
      <c r="I9" s="665"/>
      <c r="J9" s="665"/>
      <c r="K9" s="665"/>
      <c r="L9" s="665"/>
      <c r="M9" s="667">
        <v>30103</v>
      </c>
      <c r="N9" s="668"/>
      <c r="O9" s="669"/>
      <c r="P9" s="665">
        <v>137039</v>
      </c>
      <c r="Q9" s="670"/>
      <c r="R9" s="671"/>
      <c r="S9" s="664">
        <v>80</v>
      </c>
      <c r="U9" t="s">
        <v>404</v>
      </c>
    </row>
    <row r="10" spans="1:21">
      <c r="A10" s="784"/>
      <c r="B10" s="709">
        <v>13</v>
      </c>
      <c r="C10" s="665">
        <v>3837</v>
      </c>
      <c r="D10" s="666">
        <v>9247</v>
      </c>
      <c r="E10" s="665"/>
      <c r="F10" s="665"/>
      <c r="G10" s="665"/>
      <c r="H10" s="665"/>
      <c r="I10" s="665"/>
      <c r="J10" s="665"/>
      <c r="K10" s="665"/>
      <c r="L10" s="665"/>
      <c r="M10" s="667">
        <v>153405</v>
      </c>
      <c r="N10" s="668"/>
      <c r="O10" s="669"/>
      <c r="P10" s="665">
        <v>211648</v>
      </c>
      <c r="Q10" s="670"/>
      <c r="R10" s="671"/>
      <c r="S10" s="672">
        <v>200</v>
      </c>
      <c r="U10" t="s">
        <v>405</v>
      </c>
    </row>
    <row r="11" spans="1:21">
      <c r="A11" s="784"/>
      <c r="B11" s="709">
        <v>5.5247999999999999</v>
      </c>
      <c r="C11" s="665"/>
      <c r="D11" s="666">
        <v>192.99</v>
      </c>
      <c r="E11" s="665"/>
      <c r="F11" s="665"/>
      <c r="G11" s="665"/>
      <c r="H11" s="665"/>
      <c r="I11" s="665"/>
      <c r="J11" s="665">
        <v>4491.01</v>
      </c>
      <c r="K11" s="665"/>
      <c r="L11" s="665">
        <v>4077.26</v>
      </c>
      <c r="M11" s="667"/>
      <c r="N11" s="668"/>
      <c r="O11" s="669"/>
      <c r="P11" s="665">
        <v>31173.69</v>
      </c>
      <c r="Q11" s="670"/>
      <c r="R11" s="671"/>
      <c r="S11" s="664">
        <v>585</v>
      </c>
      <c r="U11" t="s">
        <v>406</v>
      </c>
    </row>
    <row r="12" spans="1:21">
      <c r="A12" s="784"/>
      <c r="B12" s="709">
        <v>8.18</v>
      </c>
      <c r="C12" s="665">
        <v>263</v>
      </c>
      <c r="D12" s="666">
        <v>6249</v>
      </c>
      <c r="E12" s="665">
        <v>3262</v>
      </c>
      <c r="F12" s="665"/>
      <c r="G12" s="665"/>
      <c r="H12" s="665"/>
      <c r="I12" s="665"/>
      <c r="J12" s="665"/>
      <c r="K12" s="665"/>
      <c r="L12" s="665"/>
      <c r="M12" s="667">
        <v>55996</v>
      </c>
      <c r="N12" s="668"/>
      <c r="O12" s="669"/>
      <c r="P12" s="665">
        <v>84559</v>
      </c>
      <c r="Q12" s="670"/>
      <c r="R12" s="671"/>
      <c r="S12" s="664"/>
      <c r="U12" t="s">
        <v>407</v>
      </c>
    </row>
    <row r="13" spans="1:21" ht="15.75" thickBot="1">
      <c r="A13" s="784"/>
      <c r="B13" s="710">
        <v>11.72</v>
      </c>
      <c r="C13" s="674">
        <v>650</v>
      </c>
      <c r="D13" s="675">
        <v>90571</v>
      </c>
      <c r="E13" s="674"/>
      <c r="F13" s="674">
        <v>47</v>
      </c>
      <c r="G13" s="674"/>
      <c r="H13" s="674"/>
      <c r="I13" s="674">
        <v>257173</v>
      </c>
      <c r="J13" s="674"/>
      <c r="K13" s="674"/>
      <c r="L13" s="674"/>
      <c r="M13" s="676">
        <v>10456</v>
      </c>
      <c r="N13" s="677"/>
      <c r="O13" s="678"/>
      <c r="P13" s="674">
        <v>340066</v>
      </c>
      <c r="Q13" s="679"/>
      <c r="R13" s="680"/>
      <c r="S13" s="664">
        <v>739</v>
      </c>
      <c r="U13" t="s">
        <v>408</v>
      </c>
    </row>
    <row r="14" spans="1:21">
      <c r="A14" s="787"/>
      <c r="B14" s="711"/>
      <c r="C14" s="681"/>
      <c r="D14" s="681"/>
      <c r="E14" s="681"/>
      <c r="F14" s="681"/>
      <c r="G14" s="681"/>
      <c r="H14" s="681"/>
      <c r="I14" s="681"/>
      <c r="J14" s="681"/>
      <c r="K14" s="681"/>
      <c r="L14" s="681"/>
      <c r="M14" s="682"/>
      <c r="N14" s="683"/>
      <c r="P14" s="684"/>
      <c r="Q14" s="683"/>
      <c r="S14" s="685"/>
    </row>
    <row r="15" spans="1:21">
      <c r="A15" s="787"/>
      <c r="B15" s="688"/>
      <c r="C15" s="686"/>
      <c r="D15" s="686"/>
      <c r="E15" s="686"/>
      <c r="F15" s="686"/>
      <c r="G15" s="686"/>
      <c r="H15" s="686"/>
      <c r="I15" s="686"/>
      <c r="J15" s="686"/>
      <c r="K15" s="686"/>
      <c r="L15" s="686"/>
      <c r="M15" s="687"/>
      <c r="N15" s="683"/>
      <c r="P15" s="685"/>
      <c r="Q15" s="683"/>
      <c r="S15" s="685"/>
    </row>
    <row r="16" spans="1:21">
      <c r="A16" s="787"/>
      <c r="B16" s="688"/>
      <c r="C16" s="686"/>
      <c r="D16" s="686"/>
      <c r="E16" s="686"/>
      <c r="F16" s="686"/>
      <c r="G16" s="686"/>
      <c r="H16" s="686"/>
      <c r="I16" s="686"/>
      <c r="J16" s="686"/>
      <c r="K16" s="686"/>
      <c r="L16" s="686"/>
      <c r="M16" s="687"/>
      <c r="N16" s="683"/>
      <c r="P16" s="685"/>
      <c r="Q16" s="683"/>
      <c r="S16" s="685"/>
    </row>
    <row r="17" spans="1:21" ht="15.75" thickBot="1">
      <c r="A17" s="787"/>
      <c r="B17" s="688"/>
      <c r="C17" s="686"/>
      <c r="D17" s="686"/>
      <c r="E17" s="686"/>
      <c r="F17" s="686"/>
      <c r="G17" s="686"/>
      <c r="H17" s="686"/>
      <c r="I17" s="686"/>
      <c r="J17" s="686"/>
      <c r="K17" s="686"/>
      <c r="L17" s="686"/>
      <c r="M17" s="687"/>
      <c r="N17" s="683"/>
      <c r="P17" s="685"/>
      <c r="Q17" s="683"/>
      <c r="S17" s="685"/>
    </row>
    <row r="18" spans="1:21">
      <c r="A18" s="784" t="s">
        <v>298</v>
      </c>
      <c r="B18" s="712">
        <v>0.53</v>
      </c>
      <c r="C18" s="658"/>
      <c r="D18" s="657"/>
      <c r="E18" s="657">
        <v>180</v>
      </c>
      <c r="F18" s="657"/>
      <c r="G18" s="657"/>
      <c r="H18" s="657">
        <v>108</v>
      </c>
      <c r="I18" s="657"/>
      <c r="J18" s="657">
        <v>1875</v>
      </c>
      <c r="K18" s="657"/>
      <c r="L18" s="657"/>
      <c r="M18" s="689">
        <v>2122</v>
      </c>
      <c r="N18" s="683"/>
      <c r="P18" s="690">
        <v>58311</v>
      </c>
      <c r="Q18" s="683"/>
      <c r="S18" s="685">
        <v>19</v>
      </c>
      <c r="U18" t="s">
        <v>400</v>
      </c>
    </row>
    <row r="19" spans="1:21">
      <c r="A19" s="785"/>
      <c r="B19" s="713">
        <v>1.43</v>
      </c>
      <c r="C19" s="666">
        <v>84</v>
      </c>
      <c r="D19" s="665"/>
      <c r="E19" s="665">
        <v>4720</v>
      </c>
      <c r="F19" s="665"/>
      <c r="G19" s="665"/>
      <c r="H19" s="665"/>
      <c r="I19" s="665"/>
      <c r="J19" s="665"/>
      <c r="K19" s="665"/>
      <c r="L19" s="665"/>
      <c r="M19" s="691">
        <v>168535</v>
      </c>
      <c r="N19" s="683"/>
      <c r="P19" s="692">
        <v>6608</v>
      </c>
      <c r="Q19" s="683"/>
      <c r="S19" s="685">
        <v>164.03</v>
      </c>
      <c r="U19" t="s">
        <v>409</v>
      </c>
    </row>
    <row r="20" spans="1:21">
      <c r="A20" s="785"/>
      <c r="B20" s="713">
        <v>1.24</v>
      </c>
      <c r="C20" s="666">
        <v>136.07</v>
      </c>
      <c r="D20" s="665"/>
      <c r="E20" s="665"/>
      <c r="F20" s="665">
        <v>1156.1500000000001</v>
      </c>
      <c r="G20" s="665"/>
      <c r="H20" s="665"/>
      <c r="I20" s="665">
        <v>8744</v>
      </c>
      <c r="J20" s="665"/>
      <c r="K20" s="665"/>
      <c r="L20" s="665"/>
      <c r="M20" s="691">
        <v>1736.59</v>
      </c>
      <c r="N20" s="683"/>
      <c r="P20" s="692">
        <v>61022.27</v>
      </c>
      <c r="Q20" s="683"/>
      <c r="S20" s="685">
        <v>159</v>
      </c>
      <c r="U20" t="s">
        <v>410</v>
      </c>
    </row>
    <row r="21" spans="1:21">
      <c r="A21" s="785"/>
      <c r="B21" s="713">
        <v>4.3</v>
      </c>
      <c r="C21" s="666">
        <v>379</v>
      </c>
      <c r="D21" s="665"/>
      <c r="E21" s="665">
        <v>1839</v>
      </c>
      <c r="F21" s="665"/>
      <c r="G21" s="665"/>
      <c r="H21" s="665"/>
      <c r="I21" s="665">
        <v>17396</v>
      </c>
      <c r="J21" s="665">
        <v>261954</v>
      </c>
      <c r="K21" s="665"/>
      <c r="L21" s="665"/>
      <c r="M21" s="691">
        <v>1945</v>
      </c>
      <c r="N21" s="683"/>
      <c r="P21" s="692">
        <v>66175</v>
      </c>
      <c r="Q21" s="683"/>
      <c r="S21" s="685">
        <v>1977</v>
      </c>
      <c r="U21" t="s">
        <v>411</v>
      </c>
    </row>
    <row r="22" spans="1:21" ht="15.75" thickBot="1">
      <c r="A22" s="785"/>
      <c r="B22" s="713">
        <v>1.7183999999999999</v>
      </c>
      <c r="C22" s="666"/>
      <c r="D22" s="665">
        <v>100</v>
      </c>
      <c r="E22" s="665"/>
      <c r="F22" s="665"/>
      <c r="G22" s="665"/>
      <c r="H22" s="665"/>
      <c r="I22" s="665"/>
      <c r="J22" s="665">
        <v>6538.75</v>
      </c>
      <c r="K22" s="665"/>
      <c r="L22" s="665">
        <v>21852.76</v>
      </c>
      <c r="M22" s="691">
        <v>1276.74</v>
      </c>
      <c r="N22" s="683"/>
      <c r="P22" s="693">
        <v>86975.27</v>
      </c>
      <c r="Q22" s="683"/>
      <c r="S22" s="685"/>
      <c r="U22" t="s">
        <v>406</v>
      </c>
    </row>
    <row r="23" spans="1:21" ht="15.75" thickBot="1">
      <c r="A23" s="785"/>
      <c r="B23" s="714">
        <v>1.81</v>
      </c>
      <c r="C23" s="666"/>
      <c r="D23" s="665"/>
      <c r="E23" s="665"/>
      <c r="F23" s="665"/>
      <c r="G23" s="665"/>
      <c r="H23" s="665"/>
      <c r="I23" s="665"/>
      <c r="J23" s="665"/>
      <c r="K23" s="665"/>
      <c r="L23" s="665"/>
      <c r="M23" s="691"/>
      <c r="N23" s="683"/>
      <c r="P23" s="684">
        <v>6133</v>
      </c>
      <c r="Q23" s="683"/>
      <c r="S23" s="685"/>
      <c r="U23" t="s">
        <v>395</v>
      </c>
    </row>
    <row r="24" spans="1:21" ht="15.75" thickBot="1">
      <c r="A24" s="786"/>
      <c r="B24" s="711"/>
      <c r="C24" s="673"/>
      <c r="D24" s="674"/>
      <c r="E24" s="674"/>
      <c r="F24" s="674"/>
      <c r="G24" s="674"/>
      <c r="H24" s="674"/>
      <c r="I24" s="674"/>
      <c r="J24" s="674"/>
      <c r="K24" s="674"/>
      <c r="L24" s="674"/>
      <c r="M24" s="694"/>
      <c r="N24" s="683"/>
      <c r="P24" s="685"/>
      <c r="Q24" s="683"/>
      <c r="S24" s="685"/>
    </row>
    <row r="25" spans="1:21" ht="15.75" thickBot="1">
      <c r="A25" s="786"/>
      <c r="B25" s="688"/>
      <c r="C25" s="681"/>
      <c r="D25" s="681"/>
      <c r="E25" s="681"/>
      <c r="F25" s="681"/>
      <c r="G25" s="681"/>
      <c r="H25" s="681"/>
      <c r="I25" s="681"/>
      <c r="J25" s="681"/>
      <c r="K25" s="681"/>
      <c r="L25" s="681"/>
      <c r="M25" s="682"/>
      <c r="N25" s="683"/>
      <c r="P25" s="685"/>
      <c r="Q25" s="683"/>
      <c r="S25" s="685"/>
    </row>
    <row r="26" spans="1:21" ht="15.75" thickBot="1">
      <c r="A26" s="695" t="s">
        <v>299</v>
      </c>
      <c r="B26" s="696">
        <v>4.2</v>
      </c>
      <c r="C26" s="697">
        <v>4024</v>
      </c>
      <c r="D26" s="697">
        <v>3350</v>
      </c>
      <c r="E26" s="697">
        <v>22</v>
      </c>
      <c r="F26" s="697"/>
      <c r="G26" s="697"/>
      <c r="H26" s="697"/>
      <c r="I26" s="697"/>
      <c r="J26" s="697"/>
      <c r="K26" s="697"/>
      <c r="L26" s="697"/>
      <c r="M26" s="697">
        <v>33772</v>
      </c>
      <c r="N26" s="697"/>
      <c r="O26" s="698"/>
      <c r="P26" s="699">
        <v>90228</v>
      </c>
      <c r="Q26" s="700"/>
      <c r="R26" s="701"/>
      <c r="S26" s="702"/>
      <c r="U26" t="s">
        <v>397</v>
      </c>
    </row>
    <row r="27" spans="1:21">
      <c r="E27">
        <v>9</v>
      </c>
    </row>
    <row r="28" spans="1:21" ht="15.75" thickBot="1">
      <c r="A28" s="467" t="s">
        <v>300</v>
      </c>
      <c r="B28" s="467" t="s">
        <v>301</v>
      </c>
      <c r="N28" s="501" t="s">
        <v>302</v>
      </c>
      <c r="Q28" s="501" t="s">
        <v>302</v>
      </c>
      <c r="R28" s="501" t="s">
        <v>303</v>
      </c>
      <c r="T28" s="501" t="s">
        <v>302</v>
      </c>
    </row>
    <row r="29" spans="1:21" ht="15.75" thickBot="1">
      <c r="A29" s="467">
        <v>67160</v>
      </c>
      <c r="B29" s="703">
        <f t="shared" ref="B29:M29" si="0">SUM(B3:B13)</f>
        <v>83.43780000000001</v>
      </c>
      <c r="C29" s="704">
        <f t="shared" si="0"/>
        <v>19769</v>
      </c>
      <c r="D29" s="704">
        <f t="shared" si="0"/>
        <v>136032.99</v>
      </c>
      <c r="E29" s="704">
        <f t="shared" si="0"/>
        <v>19875</v>
      </c>
      <c r="F29" s="704">
        <f t="shared" si="0"/>
        <v>52</v>
      </c>
      <c r="G29" s="704">
        <f t="shared" si="0"/>
        <v>0</v>
      </c>
      <c r="H29" s="704">
        <f t="shared" si="0"/>
        <v>265</v>
      </c>
      <c r="I29" s="704">
        <f t="shared" si="0"/>
        <v>257173</v>
      </c>
      <c r="J29" s="704">
        <f t="shared" si="0"/>
        <v>270540.01</v>
      </c>
      <c r="K29" s="704">
        <f t="shared" si="0"/>
        <v>0</v>
      </c>
      <c r="L29" s="704">
        <f t="shared" si="0"/>
        <v>4847.26</v>
      </c>
      <c r="M29" s="705">
        <f t="shared" si="0"/>
        <v>421940</v>
      </c>
      <c r="N29" s="706">
        <f>SUM(C29:M30)/A29</f>
        <v>24.317634306134604</v>
      </c>
      <c r="P29" s="705">
        <f>SUM(P3:P13)</f>
        <v>1226875.69</v>
      </c>
      <c r="Q29" s="506">
        <f>SUM(P3:P17)/A29</f>
        <v>18.267952501488981</v>
      </c>
      <c r="S29" s="705">
        <v>7854.64</v>
      </c>
      <c r="T29" s="506">
        <f>SUM(S3:S17)/A29</f>
        <v>4.9652173913043482E-2</v>
      </c>
    </row>
    <row r="30" spans="1:21" ht="15.75" thickBot="1">
      <c r="A30" s="467">
        <v>25550</v>
      </c>
      <c r="B30" s="703">
        <f t="shared" ref="B30:M30" si="1">SUM(B18:B22)</f>
        <v>9.218399999999999</v>
      </c>
      <c r="C30" s="704">
        <f t="shared" si="1"/>
        <v>599.06999999999994</v>
      </c>
      <c r="D30" s="704">
        <f t="shared" si="1"/>
        <v>100</v>
      </c>
      <c r="E30" s="704">
        <f t="shared" si="1"/>
        <v>6739</v>
      </c>
      <c r="F30" s="704">
        <f t="shared" si="1"/>
        <v>1156.1500000000001</v>
      </c>
      <c r="G30" s="704">
        <f t="shared" si="1"/>
        <v>0</v>
      </c>
      <c r="H30" s="704">
        <f t="shared" si="1"/>
        <v>108</v>
      </c>
      <c r="I30" s="704">
        <f t="shared" si="1"/>
        <v>26140</v>
      </c>
      <c r="J30" s="704">
        <f t="shared" si="1"/>
        <v>270367.75</v>
      </c>
      <c r="K30" s="704">
        <f t="shared" si="1"/>
        <v>0</v>
      </c>
      <c r="L30" s="704">
        <f t="shared" si="1"/>
        <v>21852.76</v>
      </c>
      <c r="M30" s="705">
        <f t="shared" si="1"/>
        <v>175615.33</v>
      </c>
      <c r="N30" s="706">
        <f>SUM(C30:M30)/A30</f>
        <v>19.674288062622306</v>
      </c>
      <c r="P30" s="705">
        <f>SUM(P18:P22)</f>
        <v>279091.53999999998</v>
      </c>
      <c r="Q30" s="506">
        <f>SUM(P18:P25)/A30</f>
        <v>11.163387084148727</v>
      </c>
      <c r="R30" s="707">
        <f>P30/B30</f>
        <v>30275.485984552633</v>
      </c>
      <c r="S30" s="705">
        <v>2859.0299999999997</v>
      </c>
      <c r="T30" s="506">
        <f>SUM(S18:S25)/A30</f>
        <v>9.0764383561643819E-2</v>
      </c>
    </row>
    <row r="31" spans="1:21" ht="15.75" thickBot="1">
      <c r="A31" s="467">
        <v>2920</v>
      </c>
      <c r="B31" s="696">
        <v>4.2</v>
      </c>
      <c r="C31" s="697">
        <v>4024</v>
      </c>
      <c r="D31" s="697">
        <v>3350</v>
      </c>
      <c r="E31" s="697">
        <v>22</v>
      </c>
      <c r="F31" s="697"/>
      <c r="G31" s="697"/>
      <c r="H31" s="697"/>
      <c r="I31" s="697"/>
      <c r="J31" s="697"/>
      <c r="K31" s="697"/>
      <c r="L31" s="697"/>
      <c r="M31" s="697">
        <v>33772</v>
      </c>
      <c r="N31" s="706">
        <f>SUM(C31:M31)/A31</f>
        <v>14.098630136986301</v>
      </c>
      <c r="O31" t="s">
        <v>412</v>
      </c>
      <c r="P31" s="705">
        <f>P26</f>
        <v>90228</v>
      </c>
      <c r="Q31" s="506">
        <f>P26/A31</f>
        <v>30.9</v>
      </c>
      <c r="S31" s="705">
        <v>120</v>
      </c>
      <c r="T31" s="506">
        <f>SUM(S26)/A31</f>
        <v>0</v>
      </c>
    </row>
  </sheetData>
  <mergeCells count="2">
    <mergeCell ref="A18:A25"/>
    <mergeCell ref="A3: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M2020 BLS  SALARY CHART</vt:lpstr>
      <vt:lpstr>Fall CAF 2021</vt:lpstr>
      <vt:lpstr>Fall CAF 2023</vt:lpstr>
      <vt:lpstr>M2022 BLS SALARY CHART (53_PCT)</vt:lpstr>
      <vt:lpstr>4624-Emergency Shelters</vt:lpstr>
      <vt:lpstr>4625 - Residential Housing Stab</vt:lpstr>
      <vt:lpstr>4626-DVSMT Shelters</vt:lpstr>
      <vt:lpstr>FY20 UFR Data</vt:lpstr>
      <vt:lpstr>FY22 UFR Data</vt:lpstr>
      <vt:lpstr>Direct Care  Add On</vt:lpstr>
      <vt:lpstr>Sheet1</vt:lpstr>
      <vt:lpstr>'4624-Emergency Shelters'!Print_Area</vt:lpstr>
      <vt:lpstr>'4625 - Residential Housing Stab'!Print_Area</vt:lpstr>
      <vt:lpstr>'4626-DVSMT Shelters'!Print_Area</vt:lpstr>
      <vt:lpstr>'Direct Care  Add On'!Print_Area</vt:lpstr>
      <vt:lpstr>'M2020 BLS  SALARY CHART'!Print_Area</vt:lpstr>
      <vt:lpstr>'M2022 BLS SALARY CHART (53_PCT)'!Print_Area</vt:lpstr>
      <vt:lpstr>'Fall CAF 2021'!Print_Titles</vt:lpstr>
      <vt:lpstr>'Fall CAF 2023'!Print_Titles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Farrell, Conor (EHS)</cp:lastModifiedBy>
  <dcterms:created xsi:type="dcterms:W3CDTF">2021-12-01T12:04:54Z</dcterms:created>
  <dcterms:modified xsi:type="dcterms:W3CDTF">2024-04-25T15:37:03Z</dcterms:modified>
</cp:coreProperties>
</file>