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 activeTab="4"/>
  </bookViews>
  <sheets>
    <sheet name="Direct Care  Add On" sheetId="1" r:id="rId1"/>
    <sheet name="4624-Emergency Shelters" sheetId="2" r:id="rId2"/>
    <sheet name="4625 - Residential Housing Stab" sheetId="3" r:id="rId3"/>
    <sheet name="4626-DVSMT Shelters" sheetId="4" r:id="rId4"/>
    <sheet name="CAF 2019 Fall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sdfasdf">#REF!</definedName>
    <definedName name="Average">#REF!</definedName>
    <definedName name="CAF_NEW">[3]RawDataCalcs!$L$70:$DB$70</definedName>
    <definedName name="Cap">[4]RawDataCalcs!$L$70:$DB$70</definedName>
    <definedName name="Data">#REF!</definedName>
    <definedName name="Floor">[4]RawDataCalcs!$L$69:$DB$69</definedName>
    <definedName name="Funds">'[5]RawDataCalcs3386&amp;3401'!$L$68:$DB$68</definedName>
    <definedName name="gk" localSheetId="1">#REF!</definedName>
    <definedName name="gk" localSheetId="0">#REF!</definedName>
    <definedName name="gk">#REF!</definedName>
    <definedName name="hhh">#REF!</definedName>
    <definedName name="JailDAverage">#REF!</definedName>
    <definedName name="JailDCap">[6]ALLRawDataCalcs!$L$80:$DB$80</definedName>
    <definedName name="JailDFloor">[6]ALLRawDataCalcs!$L$79:$DB$79</definedName>
    <definedName name="JailDgk">#REF!</definedName>
    <definedName name="JailDMax">#REF!</definedName>
    <definedName name="JailDMedian">#REF!</definedName>
    <definedName name="kls">#REF!</definedName>
    <definedName name="ListProviders">'[7]List of Programs'!$A$24:$A$29</definedName>
    <definedName name="Max">#REF!</definedName>
    <definedName name="Median">#REF!</definedName>
    <definedName name="Min">#REF!</definedName>
    <definedName name="MT">#REF!</definedName>
    <definedName name="new">#REF!</definedName>
    <definedName name="ok" localSheetId="1">#REF!</definedName>
    <definedName name="ok">#REF!</definedName>
    <definedName name="_xlnm.Print_Area" localSheetId="1">'4624-Emergency Shelters'!$A$2:$P$46</definedName>
    <definedName name="_xlnm.Print_Area" localSheetId="2">'4625 - Residential Housing Stab'!$A$2:$V$39</definedName>
    <definedName name="_xlnm.Print_Area" localSheetId="3">'4626-DVSMT Shelters'!$A$2:$P$51</definedName>
    <definedName name="_xlnm.Print_Area" localSheetId="4">'CAF 2019 Fall'!$BN$6:$CA$27</definedName>
    <definedName name="_xlnm.Print_Area" localSheetId="0">'Direct Care  Add On'!$B$1:$I$18</definedName>
    <definedName name="_xlnm.Print_Titles" localSheetId="4">'CAF 2019 Fall'!$A:$A</definedName>
    <definedName name="Program_File">#REF!</definedName>
    <definedName name="Programs">'[7]List of Programs'!$B$3:$B$19</definedName>
    <definedName name="ProvFTE">'[8]FTE Data'!$A$3:$AW$56</definedName>
    <definedName name="PurchasedBy">'[8]FTE Data'!$C$263:$AZ$657</definedName>
    <definedName name="resmay2007">#REF!</definedName>
    <definedName name="Site_list">[8]Lists!$A$2:$A$53</definedName>
    <definedName name="Source">#REF!</definedName>
    <definedName name="Source_2" localSheetId="1">#REF!</definedName>
    <definedName name="Source_2">#REF!</definedName>
    <definedName name="SourcePathAndFileName">#REF!</definedName>
    <definedName name="Total_UFR">#REF!</definedName>
    <definedName name="Total_UFRs">#REF!</definedName>
    <definedName name="Total_UFRs_">#REF!</definedName>
    <definedName name="UFR">'[9]Complete UFR List'!#REF!</definedName>
    <definedName name="UFRS">'[9]Complete UFR List'!#REF!</definedName>
  </definedNames>
  <calcPr calcId="145621"/>
</workbook>
</file>

<file path=xl/calcChain.xml><?xml version="1.0" encoding="utf-8"?>
<calcChain xmlns="http://schemas.openxmlformats.org/spreadsheetml/2006/main">
  <c r="BX23" i="5" l="1"/>
  <c r="BW23" i="5"/>
  <c r="BV23" i="5"/>
  <c r="BU23" i="5"/>
  <c r="BT23" i="5"/>
  <c r="BS23" i="5"/>
  <c r="BR23" i="5"/>
  <c r="BQ23" i="5"/>
  <c r="BZ23" i="5" s="1"/>
  <c r="BZ25" i="5" s="1"/>
  <c r="C38" i="2" s="1"/>
  <c r="BX22" i="5"/>
  <c r="BW22" i="5"/>
  <c r="BV22" i="5"/>
  <c r="BU22" i="5"/>
  <c r="BT22" i="5"/>
  <c r="BS22" i="5"/>
  <c r="BR22" i="5"/>
  <c r="BQ22" i="5"/>
  <c r="BZ19" i="5"/>
  <c r="BQ19" i="5"/>
  <c r="BQ18" i="5"/>
  <c r="C49" i="4"/>
  <c r="C48" i="4"/>
  <c r="C47" i="4"/>
  <c r="C46" i="4"/>
  <c r="C50" i="4" s="1"/>
  <c r="C51" i="4" s="1"/>
  <c r="C41" i="4"/>
  <c r="C36" i="4" s="1"/>
  <c r="C35" i="4"/>
  <c r="H34" i="4"/>
  <c r="N34" i="4" s="1"/>
  <c r="C33" i="4"/>
  <c r="C32" i="4"/>
  <c r="C31" i="4"/>
  <c r="N30" i="4"/>
  <c r="H30" i="4"/>
  <c r="C30" i="4"/>
  <c r="C29" i="4"/>
  <c r="N28" i="4"/>
  <c r="H28" i="4"/>
  <c r="C27" i="4"/>
  <c r="C26" i="4"/>
  <c r="C25" i="4"/>
  <c r="O23" i="4"/>
  <c r="L23" i="4"/>
  <c r="I23" i="4"/>
  <c r="F23" i="4"/>
  <c r="O22" i="4"/>
  <c r="L22" i="4"/>
  <c r="I22" i="4"/>
  <c r="P21" i="4"/>
  <c r="O21" i="4"/>
  <c r="J21" i="4"/>
  <c r="I21" i="4"/>
  <c r="P20" i="4"/>
  <c r="O20" i="4"/>
  <c r="J20" i="4"/>
  <c r="I20" i="4"/>
  <c r="P19" i="4"/>
  <c r="L19" i="4"/>
  <c r="C19" i="4"/>
  <c r="C16" i="4"/>
  <c r="C15" i="4"/>
  <c r="N14" i="4"/>
  <c r="H14" i="4"/>
  <c r="C12" i="4"/>
  <c r="C11" i="4"/>
  <c r="N10" i="4"/>
  <c r="P10" i="4" s="1"/>
  <c r="H10" i="4"/>
  <c r="J10" i="4" s="1"/>
  <c r="F10" i="4"/>
  <c r="L10" i="4" s="1"/>
  <c r="C10" i="4"/>
  <c r="N9" i="4"/>
  <c r="H9" i="4"/>
  <c r="C9" i="4"/>
  <c r="N8" i="4"/>
  <c r="P8" i="4" s="1"/>
  <c r="H8" i="4"/>
  <c r="J8" i="4" s="1"/>
  <c r="N7" i="4"/>
  <c r="P7" i="4" s="1"/>
  <c r="L7" i="4"/>
  <c r="H7" i="4"/>
  <c r="J7" i="4" s="1"/>
  <c r="F7" i="4"/>
  <c r="C38" i="3"/>
  <c r="C33" i="3"/>
  <c r="C32" i="3"/>
  <c r="C31" i="3"/>
  <c r="C29" i="3"/>
  <c r="T28" i="3"/>
  <c r="N28" i="3"/>
  <c r="H28" i="3"/>
  <c r="C28" i="3"/>
  <c r="C27" i="3"/>
  <c r="T26" i="3"/>
  <c r="N26" i="3"/>
  <c r="H26" i="3"/>
  <c r="C26" i="3"/>
  <c r="C24" i="3"/>
  <c r="C23" i="3"/>
  <c r="U21" i="3"/>
  <c r="R21" i="3"/>
  <c r="O21" i="3"/>
  <c r="L21" i="3"/>
  <c r="I21" i="3"/>
  <c r="F21" i="3"/>
  <c r="U20" i="3"/>
  <c r="V20" i="3" s="1"/>
  <c r="R20" i="3"/>
  <c r="O20" i="3"/>
  <c r="P20" i="3" s="1"/>
  <c r="L20" i="3"/>
  <c r="I20" i="3"/>
  <c r="J20" i="3" s="1"/>
  <c r="F20" i="3"/>
  <c r="V19" i="3"/>
  <c r="U19" i="3"/>
  <c r="P19" i="3"/>
  <c r="O19" i="3"/>
  <c r="J19" i="3"/>
  <c r="I19" i="3"/>
  <c r="C19" i="3"/>
  <c r="U18" i="3"/>
  <c r="V18" i="3" s="1"/>
  <c r="O18" i="3"/>
  <c r="P18" i="3" s="1"/>
  <c r="I18" i="3"/>
  <c r="J18" i="3" s="1"/>
  <c r="U17" i="3"/>
  <c r="V17" i="3" s="1"/>
  <c r="O17" i="3"/>
  <c r="P17" i="3" s="1"/>
  <c r="I17" i="3"/>
  <c r="J17" i="3" s="1"/>
  <c r="V16" i="3"/>
  <c r="P16" i="3"/>
  <c r="J16" i="3"/>
  <c r="C16" i="3"/>
  <c r="C15" i="3"/>
  <c r="T12" i="3"/>
  <c r="N12" i="3"/>
  <c r="H12" i="3"/>
  <c r="C12" i="3"/>
  <c r="C11" i="3"/>
  <c r="U10" i="3"/>
  <c r="O10" i="3"/>
  <c r="I10" i="3"/>
  <c r="C10" i="3"/>
  <c r="S9" i="3"/>
  <c r="R9" i="3"/>
  <c r="N9" i="3"/>
  <c r="P9" i="3" s="1"/>
  <c r="M9" i="3"/>
  <c r="L9" i="3"/>
  <c r="H9" i="3"/>
  <c r="J9" i="3" s="1"/>
  <c r="G9" i="3"/>
  <c r="F9" i="3"/>
  <c r="C9" i="3"/>
  <c r="T9" i="3" s="1"/>
  <c r="V9" i="3" s="1"/>
  <c r="V8" i="3"/>
  <c r="T8" i="3"/>
  <c r="S8" i="3"/>
  <c r="R8" i="3"/>
  <c r="P8" i="3"/>
  <c r="N8" i="3"/>
  <c r="M8" i="3"/>
  <c r="L8" i="3"/>
  <c r="J8" i="3"/>
  <c r="H8" i="3"/>
  <c r="G8" i="3"/>
  <c r="F8" i="3"/>
  <c r="S7" i="3"/>
  <c r="M7" i="3"/>
  <c r="G7" i="3"/>
  <c r="C7" i="3"/>
  <c r="C6" i="3"/>
  <c r="T7" i="3" s="1"/>
  <c r="V7" i="3" s="1"/>
  <c r="C5" i="3"/>
  <c r="N7" i="3" s="1"/>
  <c r="P7" i="3" s="1"/>
  <c r="P10" i="3" s="1"/>
  <c r="C44" i="2"/>
  <c r="C43" i="2"/>
  <c r="C42" i="2"/>
  <c r="C41" i="2"/>
  <c r="C45" i="2" s="1"/>
  <c r="C46" i="2" s="1"/>
  <c r="I8" i="2" s="1"/>
  <c r="C37" i="2"/>
  <c r="C32" i="2"/>
  <c r="N31" i="2"/>
  <c r="H31" i="2"/>
  <c r="C31" i="2"/>
  <c r="C30" i="2"/>
  <c r="L28" i="2"/>
  <c r="F28" i="2"/>
  <c r="C28" i="2"/>
  <c r="C27" i="2"/>
  <c r="N26" i="2"/>
  <c r="H26" i="2"/>
  <c r="C26" i="2"/>
  <c r="C25" i="2"/>
  <c r="C23" i="2"/>
  <c r="C22" i="2"/>
  <c r="N21" i="2"/>
  <c r="L21" i="2"/>
  <c r="H21" i="2"/>
  <c r="F21" i="2"/>
  <c r="O20" i="2"/>
  <c r="L20" i="2"/>
  <c r="I20" i="2"/>
  <c r="F20" i="2"/>
  <c r="O19" i="2"/>
  <c r="P19" i="2" s="1"/>
  <c r="I19" i="2"/>
  <c r="O18" i="2"/>
  <c r="P18" i="2" s="1"/>
  <c r="I18" i="2"/>
  <c r="O17" i="2"/>
  <c r="P17" i="2" s="1"/>
  <c r="I17" i="2"/>
  <c r="N12" i="2"/>
  <c r="H12" i="2"/>
  <c r="O9" i="2"/>
  <c r="N9" i="2"/>
  <c r="P9" i="2" s="1"/>
  <c r="M9" i="2"/>
  <c r="I9" i="2"/>
  <c r="H9" i="2"/>
  <c r="J9" i="2" s="1"/>
  <c r="G9" i="2"/>
  <c r="F9" i="2"/>
  <c r="L9" i="2" s="1"/>
  <c r="N8" i="2"/>
  <c r="H8" i="2"/>
  <c r="N7" i="2"/>
  <c r="P7" i="2" s="1"/>
  <c r="M7" i="2"/>
  <c r="J7" i="2"/>
  <c r="H7" i="2"/>
  <c r="G7" i="2"/>
  <c r="C7" i="2"/>
  <c r="C7" i="4" s="1"/>
  <c r="P6" i="2"/>
  <c r="N6" i="2"/>
  <c r="M6" i="2"/>
  <c r="H6" i="2"/>
  <c r="J6" i="2" s="1"/>
  <c r="G6" i="2"/>
  <c r="C6" i="2"/>
  <c r="C6" i="4" s="1"/>
  <c r="C5" i="2"/>
  <c r="C5" i="4" s="1"/>
  <c r="J3" i="2"/>
  <c r="H9" i="1"/>
  <c r="C9" i="1"/>
  <c r="D8" i="1"/>
  <c r="C8" i="1"/>
  <c r="B8" i="1"/>
  <c r="G7" i="1"/>
  <c r="H6" i="1"/>
  <c r="G6" i="1"/>
  <c r="C6" i="1"/>
  <c r="D6" i="1" s="1"/>
  <c r="H5" i="1"/>
  <c r="G5" i="1"/>
  <c r="C5" i="1"/>
  <c r="D5" i="1" s="1"/>
  <c r="D4" i="1"/>
  <c r="D9" i="1" l="1"/>
  <c r="D7" i="1"/>
  <c r="P13" i="3"/>
  <c r="P12" i="3"/>
  <c r="J19" i="2"/>
  <c r="J18" i="2"/>
  <c r="J17" i="2"/>
  <c r="J10" i="2"/>
  <c r="N6" i="4"/>
  <c r="P6" i="4" s="1"/>
  <c r="H6" i="4"/>
  <c r="J6" i="4" s="1"/>
  <c r="J8" i="2"/>
  <c r="J20" i="2"/>
  <c r="J21" i="2"/>
  <c r="V10" i="3"/>
  <c r="P21" i="3"/>
  <c r="P22" i="3" s="1"/>
  <c r="N28" i="2"/>
  <c r="H28" i="2"/>
  <c r="I10" i="2"/>
  <c r="O8" i="2"/>
  <c r="O10" i="2" s="1"/>
  <c r="J22" i="4"/>
  <c r="O9" i="4"/>
  <c r="O12" i="4" s="1"/>
  <c r="I9" i="4"/>
  <c r="I12" i="4" s="1"/>
  <c r="H7" i="3"/>
  <c r="J7" i="3" s="1"/>
  <c r="J10" i="3" s="1"/>
  <c r="V21" i="3" l="1"/>
  <c r="V22" i="3" s="1"/>
  <c r="V13" i="3"/>
  <c r="V12" i="3"/>
  <c r="P9" i="4"/>
  <c r="P24" i="3"/>
  <c r="O13" i="3"/>
  <c r="P22" i="4"/>
  <c r="J9" i="4"/>
  <c r="P20" i="2"/>
  <c r="P12" i="4"/>
  <c r="J22" i="2"/>
  <c r="P8" i="2"/>
  <c r="P10" i="2" s="1"/>
  <c r="D10" i="1"/>
  <c r="D11" i="1" s="1"/>
  <c r="J21" i="3"/>
  <c r="J22" i="3" s="1"/>
  <c r="J12" i="3"/>
  <c r="J13" i="3" s="1"/>
  <c r="J12" i="4"/>
  <c r="J12" i="2"/>
  <c r="J24" i="3" l="1"/>
  <c r="I13" i="3"/>
  <c r="J23" i="4"/>
  <c r="J24" i="4" s="1"/>
  <c r="J14" i="4"/>
  <c r="P23" i="4"/>
  <c r="P15" i="4"/>
  <c r="P14" i="4"/>
  <c r="P21" i="2"/>
  <c r="P12" i="2"/>
  <c r="P22" i="2"/>
  <c r="P24" i="4"/>
  <c r="P27" i="3"/>
  <c r="P29" i="3" s="1"/>
  <c r="P30" i="3" s="1"/>
  <c r="P26" i="3"/>
  <c r="P28" i="3" s="1"/>
  <c r="J13" i="2"/>
  <c r="J24" i="2" s="1"/>
  <c r="V24" i="3"/>
  <c r="U13" i="3"/>
  <c r="J27" i="2" l="1"/>
  <c r="J29" i="2" s="1"/>
  <c r="J30" i="2" s="1"/>
  <c r="J31" i="2" s="1"/>
  <c r="J26" i="2"/>
  <c r="J28" i="2" s="1"/>
  <c r="V27" i="3"/>
  <c r="V29" i="3" s="1"/>
  <c r="V30" i="3" s="1"/>
  <c r="V26" i="3"/>
  <c r="V28" i="3" s="1"/>
  <c r="P13" i="2"/>
  <c r="P24" i="2" s="1"/>
  <c r="P26" i="4"/>
  <c r="J15" i="4"/>
  <c r="J26" i="4" s="1"/>
  <c r="J27" i="3"/>
  <c r="J29" i="3" s="1"/>
  <c r="J30" i="3" s="1"/>
  <c r="J26" i="3"/>
  <c r="J28" i="3" s="1"/>
  <c r="J29" i="4" l="1"/>
  <c r="J31" i="4" s="1"/>
  <c r="J32" i="4" s="1"/>
  <c r="J34" i="4" s="1"/>
  <c r="J28" i="4"/>
  <c r="J30" i="4" s="1"/>
  <c r="P29" i="4"/>
  <c r="P31" i="4" s="1"/>
  <c r="P32" i="4" s="1"/>
  <c r="P34" i="4" s="1"/>
  <c r="P28" i="4"/>
  <c r="P30" i="4" s="1"/>
  <c r="P27" i="2"/>
  <c r="P29" i="2" s="1"/>
  <c r="P30" i="2" s="1"/>
  <c r="P31" i="2" s="1"/>
  <c r="P26" i="2"/>
  <c r="P28" i="2" s="1"/>
</calcChain>
</file>

<file path=xl/sharedStrings.xml><?xml version="1.0" encoding="utf-8"?>
<sst xmlns="http://schemas.openxmlformats.org/spreadsheetml/2006/main" count="449" uniqueCount="210">
  <si>
    <t>Family Transitional Supports</t>
  </si>
  <si>
    <t>Master Look-Up Table</t>
  </si>
  <si>
    <t>Direct Care Add On (.25 FTE)</t>
  </si>
  <si>
    <t>FY17 Actuals</t>
  </si>
  <si>
    <t>For Rate</t>
  </si>
  <si>
    <t>Source</t>
  </si>
  <si>
    <t>Salary</t>
  </si>
  <si>
    <t>Salaries</t>
  </si>
  <si>
    <t>Taxes and Fringe</t>
  </si>
  <si>
    <t xml:space="preserve">Direct Care </t>
  </si>
  <si>
    <t>BLS /OES Massachusetts Median 2017/2018</t>
  </si>
  <si>
    <t>Admin. Alloc. (M&amp;G)</t>
  </si>
  <si>
    <t>Taxes &amp; Fringe</t>
  </si>
  <si>
    <t>MA Commonwealth Benchmark FY20</t>
  </si>
  <si>
    <t>Admin. Alloc. (M &amp; G)</t>
  </si>
  <si>
    <t>101 CMR 412: Family Tranisitonal Supoorts</t>
  </si>
  <si>
    <t>PFLM</t>
  </si>
  <si>
    <t>Effective Oct 2019</t>
  </si>
  <si>
    <t>CAF</t>
  </si>
  <si>
    <t>Base period = FY18Q4, Prospective: 7/1/2018 - 6/31/2020</t>
  </si>
  <si>
    <t>Per Year</t>
  </si>
  <si>
    <t>Per month</t>
  </si>
  <si>
    <t>Master Lookup Data Rebased - Emergency Shelters (Family Transitional Supports)</t>
  </si>
  <si>
    <t xml:space="preserve"> Emergency Shelter - Full Program - 4624</t>
  </si>
  <si>
    <t>Emergency Shelter - Lower Facility Cost Program - 4624</t>
  </si>
  <si>
    <t>Ratio</t>
  </si>
  <si>
    <t>Rooms:</t>
  </si>
  <si>
    <t>4-14</t>
  </si>
  <si>
    <t>Days:</t>
  </si>
  <si>
    <t>Direct Mgmt Staffing</t>
  </si>
  <si>
    <t>Residential Housing Stab</t>
  </si>
  <si>
    <t>Rooms to Staff</t>
  </si>
  <si>
    <t>Sal</t>
  </si>
  <si>
    <t>FTE</t>
  </si>
  <si>
    <t>Exp</t>
  </si>
  <si>
    <t>Residential Housing Stab SSTAP II</t>
  </si>
  <si>
    <t>All other programs</t>
  </si>
  <si>
    <t>Direct Care</t>
  </si>
  <si>
    <t xml:space="preserve"> Direct Care</t>
  </si>
  <si>
    <t>Relief A</t>
  </si>
  <si>
    <t>Total Dir Care Staff</t>
  </si>
  <si>
    <t>Emergency Shelter</t>
  </si>
  <si>
    <t xml:space="preserve">Direct Care III  </t>
  </si>
  <si>
    <t>Total Compensation</t>
  </si>
  <si>
    <t>DVSMT</t>
  </si>
  <si>
    <t>Expenses</t>
  </si>
  <si>
    <t>Unit Cost</t>
  </si>
  <si>
    <t>Residential Housing Stabilization</t>
  </si>
  <si>
    <t>Consultant Services</t>
  </si>
  <si>
    <t xml:space="preserve">Clinical </t>
  </si>
  <si>
    <t>Occupancy</t>
  </si>
  <si>
    <t>Clinical Staff</t>
  </si>
  <si>
    <t xml:space="preserve">Other Exp. </t>
  </si>
  <si>
    <t>Direct Admin</t>
  </si>
  <si>
    <t>Lower Occupancy (including SSTAP II)</t>
  </si>
  <si>
    <t>Total reimb excl M&amp;G</t>
  </si>
  <si>
    <t>Residential Housing Stabilization (Lower Facility Cost)</t>
  </si>
  <si>
    <t xml:space="preserve">Admin. Alloc. </t>
  </si>
  <si>
    <t>Residential Housing Stabilization (SSTAP II)</t>
  </si>
  <si>
    <t>TOTAL</t>
  </si>
  <si>
    <t>Shelters</t>
  </si>
  <si>
    <t>DVSMT - Lower Facility Cost Program</t>
  </si>
  <si>
    <t>Staff Training (per DC FTE)</t>
  </si>
  <si>
    <t>Utilization Rate</t>
  </si>
  <si>
    <t>Utilization</t>
  </si>
  <si>
    <t>Emergency Shelter - DVSMT</t>
  </si>
  <si>
    <t>PFMLA</t>
  </si>
  <si>
    <t>CAF Base FY18 Q4 - Prospective 7/1/18-6/30/19</t>
  </si>
  <si>
    <t>CAF Base FY20 Q4 - Prospective 7/1/20-6/30/22</t>
  </si>
  <si>
    <t>Relief Assumptions:</t>
  </si>
  <si>
    <t>Days</t>
  </si>
  <si>
    <t>Hours</t>
  </si>
  <si>
    <t>vacation</t>
  </si>
  <si>
    <t>sick/ personal</t>
  </si>
  <si>
    <t>holidays</t>
  </si>
  <si>
    <t>training</t>
  </si>
  <si>
    <t>Total Hours per FTE:</t>
  </si>
  <si>
    <t>% of FTE</t>
  </si>
  <si>
    <t>Master Lookup Data Rebased - Residential Housing (Family Transitional Supports)</t>
  </si>
  <si>
    <t>Residential Housing Stabilization - 4625</t>
  </si>
  <si>
    <t xml:space="preserve">Housing Stabilization Advocacy &amp; </t>
  </si>
  <si>
    <t>Full Program</t>
  </si>
  <si>
    <t>Lower Facility Cost program</t>
  </si>
  <si>
    <t>Supportive Services (4625)</t>
  </si>
  <si>
    <t>Rate</t>
  </si>
  <si>
    <t>CAF Base FY18 Q4 - Prospective 7/1/20-6/30/22</t>
  </si>
  <si>
    <t>Master Lookup Data Rebased - DVSMT (Family Transitional Supports)</t>
  </si>
  <si>
    <t>DVSMT Shelter - Full Program - 4626</t>
  </si>
  <si>
    <t>DVSMT Shelter - Lower Facility Cost Program  - 4626</t>
  </si>
  <si>
    <t xml:space="preserve">Relief </t>
  </si>
  <si>
    <t>Relief</t>
  </si>
  <si>
    <t>Direct Care III</t>
  </si>
  <si>
    <t>Subcontracted Services</t>
  </si>
  <si>
    <t>*</t>
  </si>
  <si>
    <t xml:space="preserve">Clinical Staff </t>
  </si>
  <si>
    <t>Clinical Staff w/o Lic</t>
  </si>
  <si>
    <t>Staff Training (Per FTE)</t>
  </si>
  <si>
    <t>DVSMT Full Program</t>
  </si>
  <si>
    <t xml:space="preserve">Total </t>
  </si>
  <si>
    <t xml:space="preserve">Utilization RATE </t>
  </si>
  <si>
    <t>Utilization RATE</t>
  </si>
  <si>
    <t>All programs</t>
  </si>
  <si>
    <t>CAF Base FY18 Q4 - Prospective 7/1/18-6/30/20</t>
  </si>
  <si>
    <t>Massachusetts Economic Indicators</t>
  </si>
  <si>
    <t>IHS Markit, Fall 2019 Forecast</t>
  </si>
  <si>
    <t>Prepared by Michael Lynch, 781-301-9129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</si>
  <si>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</si>
  <si>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</si>
  <si>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</si>
  <si>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</si>
  <si>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</si>
  <si>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</si>
  <si>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</si>
  <si>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</si>
  <si>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</si>
  <si>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</si>
  <si>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</si>
  <si>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</si>
  <si>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</si>
  <si>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</si>
  <si>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</si>
  <si>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</si>
  <si>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</si>
  <si>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</si>
  <si>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</si>
  <si>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</si>
  <si>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</si>
  <si>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</si>
  <si>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</si>
  <si>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</si>
  <si>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</si>
  <si>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</si>
  <si>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</si>
  <si>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</si>
  <si>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</si>
  <si>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</si>
  <si>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</si>
  <si>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</si>
  <si>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</si>
  <si>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</si>
  <si>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</si>
  <si>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</si>
  <si>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</si>
  <si>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</si>
  <si>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</si>
  <si>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</si>
  <si>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</si>
  <si>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</si>
  <si>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</si>
  <si>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</si>
  <si>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</si>
  <si>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</si>
  <si>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</si>
  <si>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</si>
  <si>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</si>
  <si>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</si>
  <si>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</si>
  <si>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</si>
  <si>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</si>
  <si>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</si>
  <si>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</si>
  <si>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</si>
  <si>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</si>
  <si>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</si>
  <si>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</si>
  <si>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</si>
  <si>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</si>
  <si>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</si>
  <si>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</si>
  <si>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</si>
  <si>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</si>
  <si>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</si>
  <si>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</si>
  <si>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</si>
  <si>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</si>
  <si>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</si>
  <si>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</si>
  <si>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</si>
  <si>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</si>
  <si>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</si>
  <si>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</si>
  <si>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</si>
  <si>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</si>
  <si>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</si>
  <si>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</si>
  <si>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</si>
  <si>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</si>
  <si>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</si>
  <si>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</si>
  <si>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</si>
  <si>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</si>
  <si>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</si>
  <si>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</si>
  <si>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</si>
  <si>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</si>
  <si>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</si>
  <si>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</si>
  <si>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</si>
  <si>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</si>
  <si>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</si>
  <si>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</si>
  <si>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</si>
  <si>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</si>
  <si>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July 1, 2020</t>
  </si>
  <si>
    <t xml:space="preserve">Base period: </t>
  </si>
  <si>
    <t>FY20Q4</t>
  </si>
  <si>
    <t>Average</t>
  </si>
  <si>
    <t xml:space="preserve">Prospective rate period: </t>
  </si>
  <si>
    <t>FY21 - FY22</t>
  </si>
  <si>
    <t>CAF: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</si>
</sst>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#,##0.0_);\(#,##0.0\)"/>
    <numFmt numFmtId="167" formatCode="0.0"/>
    <numFmt numFmtId="168" formatCode="0.0%"/>
    <numFmt numFmtId="169" formatCode="\$#,##0.00"/>
    <numFmt numFmtId="170" formatCode="0.000"/>
    <numFmt numFmtId="171" formatCode="&quot;$&quot;#,##0.0000_);[Red]\(&quot;$&quot;#,##0.0000\)"/>
    <numFmt numFmtId="172" formatCode="&quot;$&quot;#,##0.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i/>
      <sz val="11"/>
      <name val="Calibri"/>
      <family val="2"/>
      <scheme val="minor"/>
    </font>
    <font>
      <i/>
      <sz val="10"/>
      <name val="Arial"/>
      <family val="2"/>
    </font>
    <font>
      <b/>
      <sz val="11"/>
      <color theme="9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10"/>
      <color indexed="8"/>
      <name val="Arial"/>
      <family val="2"/>
    </font>
    <font>
      <sz val="11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/>
      <top style="thin">
        <color indexed="58"/>
      </top>
      <bottom style="medium">
        <color indexed="64"/>
      </bottom>
      <diagonal/>
    </border>
    <border>
      <left/>
      <right/>
      <top style="thin">
        <color indexed="58"/>
      </top>
      <bottom style="medium">
        <color indexed="64"/>
      </bottom>
      <diagonal/>
    </border>
    <border>
      <left/>
      <right style="medium">
        <color indexed="64"/>
      </right>
      <top style="thin">
        <color indexed="5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/>
      <right style="medium">
        <color indexed="64"/>
      </right>
      <top style="thin">
        <color indexed="58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4" borderId="0" applyNumberFormat="0" applyBorder="0" applyAlignment="0" applyProtection="0"/>
    <xf numFmtId="0" fontId="40" fillId="18" borderId="0" applyNumberFormat="0" applyBorder="0" applyAlignment="0" applyProtection="0"/>
    <xf numFmtId="0" fontId="41" fillId="2" borderId="0" applyNumberFormat="0" applyBorder="0" applyAlignment="0" applyProtection="0"/>
    <xf numFmtId="0" fontId="42" fillId="0" borderId="56" applyNumberFormat="0" applyFont="0" applyProtection="0">
      <alignment wrapText="1"/>
    </xf>
    <xf numFmtId="0" fontId="43" fillId="35" borderId="57" applyNumberFormat="0" applyAlignment="0" applyProtection="0"/>
    <xf numFmtId="0" fontId="44" fillId="36" borderId="58" applyNumberFormat="0" applyAlignment="0" applyProtection="0"/>
    <xf numFmtId="41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59" applyNumberFormat="0" applyProtection="0">
      <alignment wrapText="1"/>
    </xf>
    <xf numFmtId="0" fontId="47" fillId="19" borderId="0" applyNumberFormat="0" applyBorder="0" applyAlignment="0" applyProtection="0"/>
    <xf numFmtId="0" fontId="48" fillId="0" borderId="60" applyNumberFormat="0" applyProtection="0">
      <alignment wrapText="1"/>
    </xf>
    <xf numFmtId="0" fontId="49" fillId="0" borderId="61" applyNumberFormat="0" applyFill="0" applyAlignment="0" applyProtection="0"/>
    <xf numFmtId="0" fontId="50" fillId="0" borderId="62" applyNumberFormat="0" applyFill="0" applyAlignment="0" applyProtection="0"/>
    <xf numFmtId="0" fontId="51" fillId="0" borderId="63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57" applyNumberFormat="0" applyAlignment="0" applyProtection="0"/>
    <xf numFmtId="0" fontId="54" fillId="0" borderId="64" applyNumberFormat="0" applyFill="0" applyAlignment="0" applyProtection="0"/>
    <xf numFmtId="0" fontId="55" fillId="3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1" fillId="0" borderId="0"/>
    <xf numFmtId="0" fontId="45" fillId="0" borderId="0"/>
    <xf numFmtId="0" fontId="57" fillId="0" borderId="0"/>
    <xf numFmtId="0" fontId="11" fillId="0" borderId="0"/>
    <xf numFmtId="0" fontId="11" fillId="0" borderId="0"/>
    <xf numFmtId="0" fontId="45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8" fillId="0" borderId="0"/>
    <xf numFmtId="0" fontId="11" fillId="0" borderId="0"/>
    <xf numFmtId="0" fontId="1" fillId="0" borderId="0"/>
    <xf numFmtId="0" fontId="11" fillId="0" borderId="0"/>
    <xf numFmtId="0" fontId="56" fillId="0" borderId="0">
      <alignment vertical="top"/>
    </xf>
    <xf numFmtId="0" fontId="58" fillId="0" borderId="0"/>
    <xf numFmtId="0" fontId="1" fillId="0" borderId="0"/>
    <xf numFmtId="0" fontId="1" fillId="0" borderId="0"/>
    <xf numFmtId="0" fontId="11" fillId="0" borderId="0"/>
    <xf numFmtId="0" fontId="45" fillId="0" borderId="0"/>
    <xf numFmtId="0" fontId="45" fillId="0" borderId="0"/>
    <xf numFmtId="0" fontId="1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3" borderId="1" applyNumberFormat="0" applyFont="0" applyAlignment="0" applyProtection="0"/>
    <xf numFmtId="0" fontId="11" fillId="38" borderId="65" applyNumberFormat="0" applyFont="0" applyAlignment="0" applyProtection="0"/>
    <xf numFmtId="0" fontId="60" fillId="35" borderId="66" applyNumberFormat="0" applyAlignment="0" applyProtection="0"/>
    <xf numFmtId="0" fontId="48" fillId="0" borderId="67" applyNumberFormat="0" applyProtection="0">
      <alignment wrapText="1"/>
    </xf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2" fillId="0" borderId="0" applyNumberFormat="0" applyProtection="0">
      <alignment horizontal="left"/>
    </xf>
    <xf numFmtId="0" fontId="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68" applyNumberFormat="0" applyFill="0" applyAlignment="0" applyProtection="0"/>
    <xf numFmtId="0" fontId="65" fillId="0" borderId="0" applyNumberFormat="0" applyFill="0" applyBorder="0" applyAlignment="0" applyProtection="0"/>
  </cellStyleXfs>
  <cellXfs count="433">
    <xf numFmtId="0" fontId="0" fillId="0" borderId="0" xfId="0"/>
    <xf numFmtId="0" fontId="0" fillId="0" borderId="2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Fill="1" applyBorder="1"/>
    <xf numFmtId="0" fontId="5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7" fillId="5" borderId="9" xfId="0" applyFont="1" applyFill="1" applyBorder="1"/>
    <xf numFmtId="164" fontId="0" fillId="5" borderId="10" xfId="1" applyNumberFormat="1" applyFont="1" applyFill="1" applyBorder="1"/>
    <xf numFmtId="164" fontId="0" fillId="5" borderId="11" xfId="1" applyNumberFormat="1" applyFont="1" applyFill="1" applyBorder="1"/>
    <xf numFmtId="0" fontId="5" fillId="5" borderId="9" xfId="0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10" fontId="0" fillId="0" borderId="0" xfId="2" applyNumberFormat="1" applyFont="1" applyBorder="1" applyAlignment="1">
      <alignment horizontal="center"/>
    </xf>
    <xf numFmtId="164" fontId="0" fillId="0" borderId="13" xfId="0" applyNumberFormat="1" applyBorder="1"/>
    <xf numFmtId="165" fontId="8" fillId="5" borderId="9" xfId="0" applyNumberFormat="1" applyFont="1" applyFill="1" applyBorder="1"/>
    <xf numFmtId="164" fontId="8" fillId="5" borderId="12" xfId="1" applyNumberFormat="1" applyFont="1" applyFill="1" applyBorder="1"/>
    <xf numFmtId="164" fontId="9" fillId="0" borderId="12" xfId="1" applyNumberFormat="1" applyFont="1" applyFill="1" applyBorder="1"/>
    <xf numFmtId="0" fontId="0" fillId="5" borderId="13" xfId="0" applyFont="1" applyFill="1" applyBorder="1"/>
    <xf numFmtId="164" fontId="0" fillId="0" borderId="14" xfId="0" applyNumberFormat="1" applyBorder="1"/>
    <xf numFmtId="0" fontId="8" fillId="5" borderId="9" xfId="0" applyFont="1" applyFill="1" applyBorder="1"/>
    <xf numFmtId="10" fontId="8" fillId="5" borderId="12" xfId="0" applyNumberFormat="1" applyFont="1" applyFill="1" applyBorder="1" applyAlignment="1">
      <alignment horizontal="right"/>
    </xf>
    <xf numFmtId="10" fontId="9" fillId="0" borderId="12" xfId="0" applyNumberFormat="1" applyFont="1" applyFill="1" applyBorder="1" applyAlignment="1">
      <alignment horizontal="right"/>
    </xf>
    <xf numFmtId="0" fontId="0" fillId="0" borderId="9" xfId="0" applyBorder="1"/>
    <xf numFmtId="0" fontId="0" fillId="0" borderId="0" xfId="0" applyBorder="1" applyAlignment="1">
      <alignment horizontal="center"/>
    </xf>
    <xf numFmtId="10" fontId="8" fillId="5" borderId="12" xfId="2" applyNumberFormat="1" applyFont="1" applyFill="1" applyBorder="1"/>
    <xf numFmtId="10" fontId="9" fillId="0" borderId="12" xfId="2" applyNumberFormat="1" applyFont="1" applyFill="1" applyBorder="1"/>
    <xf numFmtId="10" fontId="0" fillId="0" borderId="0" xfId="0" applyNumberFormat="1" applyBorder="1" applyAlignment="1">
      <alignment horizontal="center"/>
    </xf>
    <xf numFmtId="44" fontId="0" fillId="0" borderId="13" xfId="0" applyNumberFormat="1" applyBorder="1"/>
    <xf numFmtId="0" fontId="8" fillId="5" borderId="15" xfId="0" applyFont="1" applyFill="1" applyBorder="1"/>
    <xf numFmtId="10" fontId="3" fillId="5" borderId="16" xfId="0" applyNumberFormat="1" applyFont="1" applyFill="1" applyBorder="1"/>
    <xf numFmtId="0" fontId="0" fillId="5" borderId="17" xfId="0" applyFill="1" applyBorder="1"/>
    <xf numFmtId="0" fontId="0" fillId="0" borderId="3" xfId="0" applyBorder="1"/>
    <xf numFmtId="0" fontId="0" fillId="0" borderId="4" xfId="0" applyBorder="1"/>
    <xf numFmtId="164" fontId="3" fillId="0" borderId="5" xfId="0" applyNumberFormat="1" applyFont="1" applyBorder="1"/>
    <xf numFmtId="44" fontId="8" fillId="5" borderId="0" xfId="0" applyNumberFormat="1" applyFont="1" applyFill="1" applyBorder="1"/>
    <xf numFmtId="10" fontId="3" fillId="5" borderId="0" xfId="0" applyNumberFormat="1" applyFont="1" applyFill="1" applyBorder="1"/>
    <xf numFmtId="0" fontId="0" fillId="5" borderId="0" xfId="0" applyFill="1" applyBorder="1"/>
    <xf numFmtId="0" fontId="7" fillId="5" borderId="3" xfId="0" applyFont="1" applyFill="1" applyBorder="1"/>
    <xf numFmtId="0" fontId="0" fillId="0" borderId="2" xfId="0" applyBorder="1"/>
    <xf numFmtId="164" fontId="3" fillId="0" borderId="17" xfId="0" applyNumberFormat="1" applyFont="1" applyBorder="1"/>
    <xf numFmtId="0" fontId="8" fillId="5" borderId="0" xfId="0" applyFont="1" applyFill="1" applyBorder="1"/>
    <xf numFmtId="44" fontId="0" fillId="0" borderId="0" xfId="1" applyFont="1"/>
    <xf numFmtId="0" fontId="8" fillId="0" borderId="0" xfId="0" applyFont="1"/>
    <xf numFmtId="0" fontId="8" fillId="0" borderId="0" xfId="0" applyFont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65" fontId="12" fillId="7" borderId="3" xfId="3" applyNumberFormat="1" applyFont="1" applyFill="1" applyBorder="1" applyAlignment="1">
      <alignment horizontal="center" wrapText="1"/>
    </xf>
    <xf numFmtId="165" fontId="12" fillId="7" borderId="4" xfId="3" applyNumberFormat="1" applyFont="1" applyFill="1" applyBorder="1" applyAlignment="1">
      <alignment horizontal="center" wrapText="1"/>
    </xf>
    <xf numFmtId="165" fontId="12" fillId="7" borderId="5" xfId="3" applyNumberFormat="1" applyFont="1" applyFill="1" applyBorder="1" applyAlignment="1">
      <alignment horizontal="center" wrapText="1"/>
    </xf>
    <xf numFmtId="0" fontId="8" fillId="0" borderId="0" xfId="0" applyFont="1" applyFill="1"/>
    <xf numFmtId="165" fontId="12" fillId="7" borderId="3" xfId="3" applyNumberFormat="1" applyFont="1" applyFill="1" applyBorder="1" applyAlignment="1">
      <alignment horizontal="center"/>
    </xf>
    <xf numFmtId="165" fontId="12" fillId="7" borderId="4" xfId="3" applyNumberFormat="1" applyFont="1" applyFill="1" applyBorder="1" applyAlignment="1">
      <alignment horizontal="center"/>
    </xf>
    <xf numFmtId="165" fontId="12" fillId="7" borderId="5" xfId="3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0" borderId="9" xfId="3" applyFont="1" applyFill="1" applyBorder="1" applyAlignment="1">
      <alignment horizontal="right"/>
    </xf>
    <xf numFmtId="16" fontId="14" fillId="0" borderId="0" xfId="3" quotePrefix="1" applyNumberFormat="1" applyFont="1" applyFill="1" applyBorder="1" applyAlignment="1">
      <alignment horizontal="center"/>
    </xf>
    <xf numFmtId="165" fontId="14" fillId="0" borderId="0" xfId="3" applyNumberFormat="1" applyFont="1" applyFill="1" applyBorder="1" applyAlignment="1">
      <alignment horizontal="center"/>
    </xf>
    <xf numFmtId="1" fontId="14" fillId="0" borderId="0" xfId="3" applyNumberFormat="1" applyFont="1" applyFill="1" applyBorder="1" applyAlignment="1">
      <alignment horizontal="center"/>
    </xf>
    <xf numFmtId="3" fontId="14" fillId="0" borderId="13" xfId="3" applyNumberFormat="1" applyFont="1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3" fontId="14" fillId="0" borderId="13" xfId="3" applyNumberFormat="1" applyFont="1" applyFill="1" applyBorder="1"/>
    <xf numFmtId="6" fontId="13" fillId="0" borderId="0" xfId="0" applyNumberFormat="1" applyFont="1" applyBorder="1" applyAlignment="1">
      <alignment horizontal="center"/>
    </xf>
    <xf numFmtId="0" fontId="14" fillId="0" borderId="19" xfId="3" applyFont="1" applyFill="1" applyBorder="1" applyAlignment="1">
      <alignment horizontal="left"/>
    </xf>
    <xf numFmtId="0" fontId="14" fillId="0" borderId="20" xfId="3" applyFont="1" applyFill="1" applyBorder="1" applyAlignment="1">
      <alignment horizontal="center" wrapText="1"/>
    </xf>
    <xf numFmtId="165" fontId="14" fillId="0" borderId="20" xfId="3" applyNumberFormat="1" applyFont="1" applyFill="1" applyBorder="1" applyAlignment="1">
      <alignment horizontal="center"/>
    </xf>
    <xf numFmtId="1" fontId="14" fillId="0" borderId="20" xfId="3" applyNumberFormat="1" applyFont="1" applyFill="1" applyBorder="1" applyAlignment="1">
      <alignment horizontal="center"/>
    </xf>
    <xf numFmtId="165" fontId="14" fillId="0" borderId="21" xfId="3" applyNumberFormat="1" applyFont="1" applyFill="1" applyBorder="1" applyAlignment="1">
      <alignment horizontal="center"/>
    </xf>
    <xf numFmtId="0" fontId="14" fillId="0" borderId="19" xfId="3" applyFont="1" applyFill="1" applyBorder="1" applyAlignment="1">
      <alignment horizontal="center"/>
    </xf>
    <xf numFmtId="165" fontId="14" fillId="0" borderId="9" xfId="3" applyNumberFormat="1" applyFont="1" applyFill="1" applyBorder="1" applyAlignment="1">
      <alignment horizontal="left"/>
    </xf>
    <xf numFmtId="166" fontId="14" fillId="0" borderId="0" xfId="4" quotePrefix="1" applyNumberFormat="1" applyFont="1" applyFill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165" fontId="14" fillId="0" borderId="13" xfId="3" applyNumberFormat="1" applyFont="1" applyFill="1" applyBorder="1"/>
    <xf numFmtId="0" fontId="9" fillId="0" borderId="0" xfId="0" applyFont="1" applyFill="1"/>
    <xf numFmtId="0" fontId="14" fillId="0" borderId="9" xfId="3" applyFont="1" applyFill="1" applyBorder="1" applyAlignment="1">
      <alignment horizontal="left"/>
    </xf>
    <xf numFmtId="167" fontId="14" fillId="0" borderId="9" xfId="3" applyNumberFormat="1" applyFont="1" applyFill="1" applyBorder="1" applyAlignment="1">
      <alignment horizontal="left"/>
    </xf>
    <xf numFmtId="6" fontId="13" fillId="0" borderId="0" xfId="5" applyNumberFormat="1" applyFont="1" applyFill="1" applyBorder="1" applyAlignment="1">
      <alignment horizontal="center"/>
    </xf>
    <xf numFmtId="0" fontId="14" fillId="0" borderId="22" xfId="3" applyFont="1" applyFill="1" applyBorder="1"/>
    <xf numFmtId="0" fontId="14" fillId="0" borderId="23" xfId="3" applyFont="1" applyFill="1" applyBorder="1" applyAlignment="1">
      <alignment horizontal="center"/>
    </xf>
    <xf numFmtId="165" fontId="14" fillId="0" borderId="23" xfId="3" applyNumberFormat="1" applyFont="1" applyFill="1" applyBorder="1" applyAlignment="1">
      <alignment horizontal="center"/>
    </xf>
    <xf numFmtId="2" fontId="14" fillId="0" borderId="23" xfId="3" applyNumberFormat="1" applyFont="1" applyFill="1" applyBorder="1" applyAlignment="1">
      <alignment horizontal="center"/>
    </xf>
    <xf numFmtId="165" fontId="14" fillId="0" borderId="24" xfId="3" applyNumberFormat="1" applyFont="1" applyFill="1" applyBorder="1"/>
    <xf numFmtId="0" fontId="15" fillId="0" borderId="0" xfId="0" applyFont="1" applyFill="1"/>
    <xf numFmtId="0" fontId="16" fillId="0" borderId="9" xfId="3" applyFont="1" applyFill="1" applyBorder="1"/>
    <xf numFmtId="0" fontId="14" fillId="0" borderId="9" xfId="3" applyFont="1" applyFill="1" applyBorder="1"/>
    <xf numFmtId="10" fontId="14" fillId="0" borderId="0" xfId="3" applyNumberFormat="1" applyFont="1" applyFill="1" applyBorder="1" applyAlignment="1">
      <alignment horizontal="center"/>
    </xf>
    <xf numFmtId="0" fontId="14" fillId="0" borderId="25" xfId="3" applyFont="1" applyFill="1" applyBorder="1"/>
    <xf numFmtId="0" fontId="14" fillId="0" borderId="26" xfId="3" applyFont="1" applyFill="1" applyBorder="1" applyAlignment="1">
      <alignment horizontal="center"/>
    </xf>
    <xf numFmtId="168" fontId="14" fillId="0" borderId="26" xfId="3" applyNumberFormat="1" applyFont="1" applyFill="1" applyBorder="1" applyAlignment="1">
      <alignment horizontal="center"/>
    </xf>
    <xf numFmtId="2" fontId="14" fillId="0" borderId="26" xfId="3" applyNumberFormat="1" applyFont="1" applyFill="1" applyBorder="1" applyAlignment="1">
      <alignment horizontal="center"/>
    </xf>
    <xf numFmtId="165" fontId="14" fillId="0" borderId="27" xfId="3" applyNumberFormat="1" applyFont="1" applyFill="1" applyBorder="1"/>
    <xf numFmtId="168" fontId="14" fillId="0" borderId="0" xfId="3" applyNumberFormat="1" applyFont="1" applyFill="1" applyBorder="1" applyAlignment="1">
      <alignment horizontal="center"/>
    </xf>
    <xf numFmtId="44" fontId="14" fillId="0" borderId="0" xfId="1" applyFont="1" applyFill="1" applyBorder="1" applyAlignment="1">
      <alignment horizontal="center"/>
    </xf>
    <xf numFmtId="10" fontId="13" fillId="0" borderId="0" xfId="2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0" fontId="14" fillId="0" borderId="0" xfId="2" applyNumberFormat="1" applyFont="1" applyFill="1" applyBorder="1" applyAlignment="1">
      <alignment horizontal="center"/>
    </xf>
    <xf numFmtId="0" fontId="9" fillId="0" borderId="9" xfId="0" applyFont="1" applyFill="1" applyBorder="1"/>
    <xf numFmtId="10" fontId="9" fillId="0" borderId="0" xfId="0" applyNumberFormat="1" applyFont="1" applyFill="1" applyBorder="1" applyAlignment="1">
      <alignment horizontal="center"/>
    </xf>
    <xf numFmtId="8" fontId="13" fillId="0" borderId="0" xfId="0" applyNumberFormat="1" applyFont="1" applyBorder="1" applyAlignment="1">
      <alignment horizontal="center"/>
    </xf>
    <xf numFmtId="165" fontId="14" fillId="0" borderId="28" xfId="3" applyNumberFormat="1" applyFont="1" applyFill="1" applyBorder="1"/>
    <xf numFmtId="0" fontId="13" fillId="0" borderId="13" xfId="0" applyFont="1" applyBorder="1" applyAlignment="1">
      <alignment horizontal="center"/>
    </xf>
    <xf numFmtId="2" fontId="14" fillId="0" borderId="29" xfId="3" applyNumberFormat="1" applyFont="1" applyFill="1" applyBorder="1" applyAlignment="1">
      <alignment horizontal="center"/>
    </xf>
    <xf numFmtId="168" fontId="14" fillId="0" borderId="23" xfId="3" applyNumberFormat="1" applyFont="1" applyFill="1" applyBorder="1" applyAlignment="1">
      <alignment horizontal="center"/>
    </xf>
    <xf numFmtId="8" fontId="13" fillId="0" borderId="0" xfId="0" applyNumberFormat="1" applyFont="1" applyFill="1" applyBorder="1" applyAlignment="1">
      <alignment horizontal="center"/>
    </xf>
    <xf numFmtId="2" fontId="14" fillId="0" borderId="30" xfId="3" applyNumberFormat="1" applyFont="1" applyFill="1" applyBorder="1" applyAlignment="1">
      <alignment horizontal="center"/>
    </xf>
    <xf numFmtId="165" fontId="14" fillId="0" borderId="8" xfId="3" applyNumberFormat="1" applyFont="1" applyFill="1" applyBorder="1"/>
    <xf numFmtId="0" fontId="14" fillId="0" borderId="31" xfId="3" applyFont="1" applyFill="1" applyBorder="1"/>
    <xf numFmtId="0" fontId="14" fillId="0" borderId="32" xfId="3" applyFont="1" applyFill="1" applyBorder="1" applyAlignment="1">
      <alignment horizontal="center"/>
    </xf>
    <xf numFmtId="165" fontId="14" fillId="0" borderId="32" xfId="3" applyNumberFormat="1" applyFont="1" applyFill="1" applyBorder="1" applyAlignment="1">
      <alignment horizontal="center"/>
    </xf>
    <xf numFmtId="0" fontId="17" fillId="0" borderId="0" xfId="0" applyFont="1" applyFill="1" applyAlignment="1"/>
    <xf numFmtId="165" fontId="14" fillId="0" borderId="33" xfId="3" applyNumberFormat="1" applyFont="1" applyFill="1" applyBorder="1"/>
    <xf numFmtId="0" fontId="14" fillId="0" borderId="9" xfId="0" applyFont="1" applyFill="1" applyBorder="1" applyAlignment="1"/>
    <xf numFmtId="0" fontId="17" fillId="0" borderId="0" xfId="0" applyFont="1" applyFill="1" applyBorder="1" applyAlignment="1"/>
    <xf numFmtId="10" fontId="17" fillId="0" borderId="0" xfId="0" applyNumberFormat="1" applyFont="1" applyFill="1" applyBorder="1" applyAlignment="1">
      <alignment horizontal="center"/>
    </xf>
    <xf numFmtId="165" fontId="14" fillId="0" borderId="14" xfId="3" applyNumberFormat="1" applyFont="1" applyFill="1" applyBorder="1"/>
    <xf numFmtId="165" fontId="14" fillId="0" borderId="34" xfId="6" applyNumberFormat="1" applyFont="1" applyFill="1" applyBorder="1"/>
    <xf numFmtId="0" fontId="14" fillId="0" borderId="9" xfId="3" applyFont="1" applyFill="1" applyBorder="1" applyAlignment="1"/>
    <xf numFmtId="0" fontId="14" fillId="0" borderId="0" xfId="3" applyFont="1" applyFill="1" applyBorder="1" applyAlignment="1"/>
    <xf numFmtId="165" fontId="14" fillId="0" borderId="0" xfId="3" applyNumberFormat="1" applyFont="1" applyFill="1" applyBorder="1" applyAlignment="1"/>
    <xf numFmtId="2" fontId="14" fillId="0" borderId="0" xfId="3" applyNumberFormat="1" applyFont="1" applyFill="1" applyBorder="1" applyAlignment="1"/>
    <xf numFmtId="169" fontId="14" fillId="0" borderId="13" xfId="3" applyNumberFormat="1" applyFont="1" applyFill="1" applyBorder="1" applyAlignment="1"/>
    <xf numFmtId="0" fontId="17" fillId="0" borderId="9" xfId="0" applyFont="1" applyFill="1" applyBorder="1" applyAlignment="1"/>
    <xf numFmtId="0" fontId="17" fillId="0" borderId="3" xfId="0" applyFont="1" applyFill="1" applyBorder="1" applyAlignment="1"/>
    <xf numFmtId="0" fontId="17" fillId="0" borderId="4" xfId="0" applyFont="1" applyFill="1" applyBorder="1" applyAlignment="1"/>
    <xf numFmtId="9" fontId="17" fillId="0" borderId="4" xfId="0" applyNumberFormat="1" applyFont="1" applyFill="1" applyBorder="1" applyAlignment="1">
      <alignment horizontal="center"/>
    </xf>
    <xf numFmtId="169" fontId="14" fillId="8" borderId="5" xfId="3" applyNumberFormat="1" applyFont="1" applyFill="1" applyBorder="1" applyAlignment="1"/>
    <xf numFmtId="0" fontId="14" fillId="0" borderId="0" xfId="3" applyFont="1" applyFill="1" applyAlignment="1"/>
    <xf numFmtId="0" fontId="14" fillId="0" borderId="4" xfId="3" applyFont="1" applyFill="1" applyBorder="1" applyAlignment="1"/>
    <xf numFmtId="0" fontId="8" fillId="0" borderId="0" xfId="0" applyFont="1" applyFill="1" applyAlignment="1">
      <alignment horizontal="center"/>
    </xf>
    <xf numFmtId="0" fontId="11" fillId="0" borderId="0" xfId="3" applyFont="1" applyFill="1" applyAlignment="1"/>
    <xf numFmtId="10" fontId="13" fillId="0" borderId="0" xfId="0" applyNumberFormat="1" applyFont="1" applyFill="1" applyBorder="1" applyAlignment="1">
      <alignment horizontal="center"/>
    </xf>
    <xf numFmtId="44" fontId="8" fillId="0" borderId="0" xfId="1" applyFont="1" applyFill="1"/>
    <xf numFmtId="0" fontId="11" fillId="0" borderId="0" xfId="3" applyFont="1" applyFill="1"/>
    <xf numFmtId="10" fontId="8" fillId="0" borderId="0" xfId="2" applyNumberFormat="1" applyFont="1" applyFill="1"/>
    <xf numFmtId="170" fontId="11" fillId="0" borderId="0" xfId="3" applyNumberFormat="1" applyFont="1" applyFill="1"/>
    <xf numFmtId="0" fontId="13" fillId="0" borderId="9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9" fontId="13" fillId="0" borderId="0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10" fontId="13" fillId="0" borderId="2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8" fillId="0" borderId="9" xfId="0" applyFont="1" applyBorder="1"/>
    <xf numFmtId="0" fontId="8" fillId="0" borderId="0" xfId="0" applyFont="1" applyBorder="1"/>
    <xf numFmtId="0" fontId="8" fillId="0" borderId="13" xfId="0" applyFont="1" applyBorder="1"/>
    <xf numFmtId="0" fontId="10" fillId="0" borderId="35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171" fontId="8" fillId="0" borderId="0" xfId="0" applyNumberFormat="1" applyFont="1" applyFill="1" applyAlignment="1">
      <alignment horizontal="center"/>
    </xf>
    <xf numFmtId="0" fontId="13" fillId="0" borderId="9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6" xfId="0" applyFont="1" applyFill="1" applyBorder="1"/>
    <xf numFmtId="1" fontId="13" fillId="0" borderId="30" xfId="0" applyNumberFormat="1" applyFont="1" applyFill="1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165" fontId="11" fillId="0" borderId="0" xfId="3" applyNumberFormat="1" applyFont="1" applyFill="1"/>
    <xf numFmtId="0" fontId="13" fillId="0" borderId="0" xfId="0" applyFont="1" applyFill="1" applyBorder="1"/>
    <xf numFmtId="0" fontId="13" fillId="0" borderId="15" xfId="0" applyFont="1" applyFill="1" applyBorder="1"/>
    <xf numFmtId="0" fontId="13" fillId="0" borderId="2" xfId="0" applyFont="1" applyFill="1" applyBorder="1"/>
    <xf numFmtId="168" fontId="13" fillId="0" borderId="17" xfId="0" applyNumberFormat="1" applyFont="1" applyFill="1" applyBorder="1" applyAlignment="1">
      <alignment horizontal="center"/>
    </xf>
    <xf numFmtId="0" fontId="8" fillId="0" borderId="17" xfId="0" applyFont="1" applyBorder="1"/>
    <xf numFmtId="0" fontId="0" fillId="0" borderId="0" xfId="0" applyAlignment="1">
      <alignment horizontal="center"/>
    </xf>
    <xf numFmtId="0" fontId="18" fillId="9" borderId="3" xfId="0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/>
    </xf>
    <xf numFmtId="165" fontId="12" fillId="10" borderId="18" xfId="3" applyNumberFormat="1" applyFont="1" applyFill="1" applyBorder="1" applyAlignment="1">
      <alignment horizontal="center"/>
    </xf>
    <xf numFmtId="165" fontId="12" fillId="10" borderId="10" xfId="3" applyNumberFormat="1" applyFont="1" applyFill="1" applyBorder="1" applyAlignment="1">
      <alignment horizontal="center"/>
    </xf>
    <xf numFmtId="165" fontId="12" fillId="10" borderId="11" xfId="3" applyNumberFormat="1" applyFont="1" applyFill="1" applyBorder="1" applyAlignment="1">
      <alignment horizontal="center"/>
    </xf>
    <xf numFmtId="0" fontId="0" fillId="0" borderId="0" xfId="0" applyFill="1"/>
    <xf numFmtId="165" fontId="12" fillId="10" borderId="18" xfId="3" applyNumberFormat="1" applyFont="1" applyFill="1" applyBorder="1" applyAlignment="1">
      <alignment horizontal="center" wrapText="1"/>
    </xf>
    <xf numFmtId="165" fontId="12" fillId="10" borderId="10" xfId="3" applyNumberFormat="1" applyFont="1" applyFill="1" applyBorder="1" applyAlignment="1">
      <alignment horizontal="center" wrapText="1"/>
    </xf>
    <xf numFmtId="165" fontId="12" fillId="10" borderId="11" xfId="3" applyNumberFormat="1" applyFont="1" applyFill="1" applyBorder="1" applyAlignment="1">
      <alignment horizontal="center" wrapText="1"/>
    </xf>
    <xf numFmtId="0" fontId="19" fillId="0" borderId="18" xfId="0" applyFont="1" applyBorder="1" applyAlignment="1">
      <alignment horizontal="left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165" fontId="12" fillId="10" borderId="15" xfId="3" applyNumberFormat="1" applyFont="1" applyFill="1" applyBorder="1" applyAlignment="1">
      <alignment horizontal="center" wrapText="1"/>
    </xf>
    <xf numFmtId="165" fontId="12" fillId="10" borderId="2" xfId="3" applyNumberFormat="1" applyFont="1" applyFill="1" applyBorder="1" applyAlignment="1">
      <alignment horizontal="center" wrapText="1"/>
    </xf>
    <xf numFmtId="165" fontId="12" fillId="10" borderId="17" xfId="3" applyNumberFormat="1" applyFont="1" applyFill="1" applyBorder="1" applyAlignment="1">
      <alignment horizontal="center" wrapText="1"/>
    </xf>
    <xf numFmtId="165" fontId="12" fillId="10" borderId="15" xfId="3" applyNumberFormat="1" applyFont="1" applyFill="1" applyBorder="1" applyAlignment="1">
      <alignment horizontal="center"/>
    </xf>
    <xf numFmtId="165" fontId="12" fillId="10" borderId="2" xfId="3" applyNumberFormat="1" applyFont="1" applyFill="1" applyBorder="1" applyAlignment="1">
      <alignment horizontal="center"/>
    </xf>
    <xf numFmtId="165" fontId="12" fillId="10" borderId="17" xfId="3" applyNumberFormat="1" applyFont="1" applyFill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19" fillId="0" borderId="0" xfId="0" applyFont="1" applyBorder="1"/>
    <xf numFmtId="0" fontId="20" fillId="0" borderId="0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1" fillId="0" borderId="9" xfId="3" applyFont="1" applyFill="1" applyBorder="1" applyAlignment="1">
      <alignment horizontal="right"/>
    </xf>
    <xf numFmtId="16" fontId="11" fillId="0" borderId="0" xfId="3" quotePrefix="1" applyNumberFormat="1" applyFont="1" applyFill="1" applyBorder="1" applyAlignment="1">
      <alignment horizontal="center"/>
    </xf>
    <xf numFmtId="165" fontId="11" fillId="0" borderId="0" xfId="3" applyNumberFormat="1" applyFont="1" applyFill="1" applyBorder="1" applyAlignment="1">
      <alignment horizontal="center"/>
    </xf>
    <xf numFmtId="1" fontId="11" fillId="0" borderId="0" xfId="3" applyNumberFormat="1" applyFont="1" applyFill="1" applyBorder="1" applyAlignment="1">
      <alignment horizontal="center"/>
    </xf>
    <xf numFmtId="3" fontId="11" fillId="0" borderId="13" xfId="3" applyNumberFormat="1" applyFont="1" applyFill="1" applyBorder="1"/>
    <xf numFmtId="0" fontId="19" fillId="0" borderId="9" xfId="0" applyFont="1" applyBorder="1" applyAlignment="1">
      <alignment horizontal="left"/>
    </xf>
    <xf numFmtId="6" fontId="20" fillId="0" borderId="0" xfId="5" applyNumberFormat="1" applyFont="1" applyBorder="1" applyAlignment="1">
      <alignment horizontal="center"/>
    </xf>
    <xf numFmtId="0" fontId="11" fillId="0" borderId="0" xfId="3" applyFont="1" applyFill="1" applyBorder="1" applyAlignment="1">
      <alignment horizontal="center"/>
    </xf>
    <xf numFmtId="0" fontId="11" fillId="0" borderId="19" xfId="3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165" fontId="11" fillId="0" borderId="20" xfId="3" applyNumberFormat="1" applyFont="1" applyFill="1" applyBorder="1" applyAlignment="1">
      <alignment horizontal="center" vertical="center"/>
    </xf>
    <xf numFmtId="1" fontId="11" fillId="0" borderId="20" xfId="3" applyNumberFormat="1" applyFont="1" applyFill="1" applyBorder="1" applyAlignment="1">
      <alignment horizontal="center" vertical="center"/>
    </xf>
    <xf numFmtId="165" fontId="11" fillId="0" borderId="21" xfId="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65" fontId="11" fillId="0" borderId="9" xfId="3" applyNumberFormat="1" applyFont="1" applyFill="1" applyBorder="1" applyAlignment="1">
      <alignment horizontal="left"/>
    </xf>
    <xf numFmtId="166" fontId="11" fillId="0" borderId="0" xfId="4" quotePrefix="1" applyNumberFormat="1" applyFont="1" applyFill="1" applyBorder="1" applyAlignment="1">
      <alignment horizontal="center"/>
    </xf>
    <xf numFmtId="2" fontId="11" fillId="0" borderId="0" xfId="3" applyNumberFormat="1" applyFont="1" applyFill="1" applyBorder="1" applyAlignment="1">
      <alignment horizontal="center"/>
    </xf>
    <xf numFmtId="165" fontId="11" fillId="0" borderId="13" xfId="3" applyNumberFormat="1" applyFont="1" applyFill="1" applyBorder="1"/>
    <xf numFmtId="6" fontId="20" fillId="0" borderId="0" xfId="0" applyNumberFormat="1" applyFont="1" applyBorder="1" applyAlignment="1">
      <alignment horizontal="center"/>
    </xf>
    <xf numFmtId="0" fontId="11" fillId="0" borderId="9" xfId="3" applyFont="1" applyFill="1" applyBorder="1" applyAlignment="1">
      <alignment horizontal="left"/>
    </xf>
    <xf numFmtId="166" fontId="11" fillId="0" borderId="0" xfId="3" applyNumberFormat="1" applyFont="1" applyFill="1" applyBorder="1" applyAlignment="1">
      <alignment horizontal="center"/>
    </xf>
    <xf numFmtId="0" fontId="11" fillId="0" borderId="22" xfId="3" applyFont="1" applyFill="1" applyBorder="1"/>
    <xf numFmtId="0" fontId="11" fillId="0" borderId="23" xfId="3" applyFont="1" applyFill="1" applyBorder="1" applyAlignment="1">
      <alignment horizontal="center"/>
    </xf>
    <xf numFmtId="165" fontId="11" fillId="0" borderId="23" xfId="3" applyNumberFormat="1" applyFont="1" applyFill="1" applyBorder="1" applyAlignment="1">
      <alignment horizontal="center"/>
    </xf>
    <xf numFmtId="2" fontId="11" fillId="0" borderId="23" xfId="3" applyNumberFormat="1" applyFont="1" applyFill="1" applyBorder="1" applyAlignment="1">
      <alignment horizontal="center"/>
    </xf>
    <xf numFmtId="0" fontId="21" fillId="0" borderId="9" xfId="3" applyFont="1" applyFill="1" applyBorder="1"/>
    <xf numFmtId="0" fontId="11" fillId="0" borderId="9" xfId="3" applyFont="1" applyFill="1" applyBorder="1"/>
    <xf numFmtId="10" fontId="11" fillId="0" borderId="0" xfId="3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1" fillId="0" borderId="25" xfId="3" applyFont="1" applyFill="1" applyBorder="1"/>
    <xf numFmtId="0" fontId="11" fillId="0" borderId="26" xfId="3" applyFont="1" applyFill="1" applyBorder="1" applyAlignment="1">
      <alignment horizontal="center"/>
    </xf>
    <xf numFmtId="168" fontId="11" fillId="0" borderId="26" xfId="3" applyNumberFormat="1" applyFont="1" applyFill="1" applyBorder="1" applyAlignment="1">
      <alignment horizontal="center"/>
    </xf>
    <xf numFmtId="2" fontId="11" fillId="0" borderId="26" xfId="3" applyNumberFormat="1" applyFont="1" applyFill="1" applyBorder="1" applyAlignment="1">
      <alignment horizontal="center"/>
    </xf>
    <xf numFmtId="168" fontId="11" fillId="0" borderId="0" xfId="3" applyNumberFormat="1" applyFont="1" applyFill="1" applyBorder="1" applyAlignment="1">
      <alignment horizontal="center"/>
    </xf>
    <xf numFmtId="8" fontId="11" fillId="0" borderId="0" xfId="0" applyNumberFormat="1" applyFont="1" applyFill="1" applyBorder="1" applyAlignment="1">
      <alignment horizontal="center"/>
    </xf>
    <xf numFmtId="10" fontId="20" fillId="0" borderId="0" xfId="0" applyNumberFormat="1" applyFont="1" applyFill="1" applyBorder="1" applyAlignment="1">
      <alignment horizontal="center"/>
    </xf>
    <xf numFmtId="0" fontId="8" fillId="0" borderId="9" xfId="0" applyFont="1" applyFill="1" applyBorder="1"/>
    <xf numFmtId="0" fontId="8" fillId="0" borderId="0" xfId="0" applyFont="1" applyFill="1" applyBorder="1"/>
    <xf numFmtId="10" fontId="8" fillId="0" borderId="0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8" fontId="20" fillId="0" borderId="0" xfId="5" applyNumberFormat="1" applyFont="1" applyBorder="1" applyAlignment="1">
      <alignment horizontal="center"/>
    </xf>
    <xf numFmtId="2" fontId="11" fillId="0" borderId="29" xfId="3" applyNumberFormat="1" applyFont="1" applyFill="1" applyBorder="1" applyAlignment="1">
      <alignment horizontal="center"/>
    </xf>
    <xf numFmtId="8" fontId="20" fillId="0" borderId="0" xfId="0" applyNumberFormat="1" applyFont="1" applyBorder="1" applyAlignment="1">
      <alignment horizontal="center"/>
    </xf>
    <xf numFmtId="0" fontId="11" fillId="0" borderId="31" xfId="3" applyFont="1" applyFill="1" applyBorder="1"/>
    <xf numFmtId="0" fontId="11" fillId="0" borderId="32" xfId="3" applyFont="1" applyFill="1" applyBorder="1" applyAlignment="1">
      <alignment horizontal="center"/>
    </xf>
    <xf numFmtId="165" fontId="11" fillId="0" borderId="32" xfId="3" applyNumberFormat="1" applyFont="1" applyFill="1" applyBorder="1" applyAlignment="1">
      <alignment horizontal="center"/>
    </xf>
    <xf numFmtId="2" fontId="11" fillId="0" borderId="32" xfId="3" applyNumberFormat="1" applyFont="1" applyFill="1" applyBorder="1" applyAlignment="1">
      <alignment horizontal="center"/>
    </xf>
    <xf numFmtId="165" fontId="14" fillId="0" borderId="38" xfId="3" applyNumberFormat="1" applyFont="1" applyFill="1" applyBorder="1"/>
    <xf numFmtId="165" fontId="11" fillId="0" borderId="26" xfId="3" applyNumberFormat="1" applyFont="1" applyFill="1" applyBorder="1" applyAlignment="1">
      <alignment horizontal="center"/>
    </xf>
    <xf numFmtId="0" fontId="22" fillId="0" borderId="18" xfId="0" applyFont="1" applyFill="1" applyBorder="1" applyAlignment="1"/>
    <xf numFmtId="0" fontId="11" fillId="0" borderId="10" xfId="3" applyFont="1" applyFill="1" applyBorder="1" applyAlignment="1">
      <alignment horizontal="center"/>
    </xf>
    <xf numFmtId="10" fontId="11" fillId="0" borderId="10" xfId="2" applyNumberFormat="1" applyFont="1" applyFill="1" applyBorder="1" applyAlignment="1">
      <alignment horizontal="center"/>
    </xf>
    <xf numFmtId="2" fontId="11" fillId="0" borderId="10" xfId="3" applyNumberFormat="1" applyFont="1" applyFill="1" applyBorder="1" applyAlignment="1">
      <alignment horizontal="center"/>
    </xf>
    <xf numFmtId="165" fontId="11" fillId="0" borderId="37" xfId="3" applyNumberFormat="1" applyFont="1" applyFill="1" applyBorder="1"/>
    <xf numFmtId="0" fontId="23" fillId="0" borderId="0" xfId="0" applyFont="1" applyFill="1"/>
    <xf numFmtId="0" fontId="22" fillId="0" borderId="9" xfId="0" applyFont="1" applyFill="1" applyBorder="1" applyAlignment="1"/>
    <xf numFmtId="0" fontId="24" fillId="0" borderId="0" xfId="3" applyFont="1" applyFill="1" applyBorder="1" applyAlignment="1">
      <alignment horizontal="center"/>
    </xf>
    <xf numFmtId="10" fontId="11" fillId="0" borderId="0" xfId="2" applyNumberFormat="1" applyFont="1" applyFill="1" applyBorder="1" applyAlignment="1">
      <alignment horizontal="center"/>
    </xf>
    <xf numFmtId="2" fontId="24" fillId="0" borderId="0" xfId="3" applyNumberFormat="1" applyFont="1" applyFill="1" applyBorder="1" applyAlignment="1">
      <alignment horizontal="center"/>
    </xf>
    <xf numFmtId="165" fontId="11" fillId="0" borderId="8" xfId="3" applyNumberFormat="1" applyFont="1" applyFill="1" applyBorder="1"/>
    <xf numFmtId="0" fontId="11" fillId="0" borderId="0" xfId="3" applyFont="1" applyFill="1" applyBorder="1" applyAlignment="1"/>
    <xf numFmtId="10" fontId="11" fillId="0" borderId="0" xfId="2" applyNumberFormat="1" applyFont="1" applyFill="1" applyBorder="1" applyAlignment="1"/>
    <xf numFmtId="2" fontId="11" fillId="0" borderId="0" xfId="3" applyNumberFormat="1" applyFont="1" applyFill="1" applyBorder="1" applyAlignment="1"/>
    <xf numFmtId="0" fontId="25" fillId="0" borderId="0" xfId="0" applyFont="1"/>
    <xf numFmtId="10" fontId="11" fillId="0" borderId="0" xfId="7" applyNumberFormat="1" applyFont="1" applyFill="1" applyBorder="1" applyAlignment="1">
      <alignment horizontal="center"/>
    </xf>
    <xf numFmtId="165" fontId="11" fillId="0" borderId="14" xfId="3" applyNumberFormat="1" applyFont="1" applyFill="1" applyBorder="1"/>
    <xf numFmtId="0" fontId="22" fillId="0" borderId="6" xfId="0" applyFont="1" applyFill="1" applyBorder="1" applyAlignment="1"/>
    <xf numFmtId="0" fontId="11" fillId="0" borderId="30" xfId="3" applyFont="1" applyFill="1" applyBorder="1" applyAlignment="1">
      <alignment horizontal="center"/>
    </xf>
    <xf numFmtId="10" fontId="11" fillId="0" borderId="30" xfId="7" applyNumberFormat="1" applyFont="1" applyFill="1" applyBorder="1" applyAlignment="1">
      <alignment horizontal="center"/>
    </xf>
    <xf numFmtId="2" fontId="11" fillId="0" borderId="30" xfId="3" applyNumberFormat="1" applyFont="1" applyFill="1" applyBorder="1" applyAlignment="1">
      <alignment horizontal="center"/>
    </xf>
    <xf numFmtId="0" fontId="22" fillId="0" borderId="30" xfId="0" applyFont="1" applyFill="1" applyBorder="1" applyAlignment="1"/>
    <xf numFmtId="9" fontId="22" fillId="0" borderId="30" xfId="0" applyNumberFormat="1" applyFont="1" applyFill="1" applyBorder="1" applyAlignment="1">
      <alignment horizontal="center"/>
    </xf>
    <xf numFmtId="0" fontId="11" fillId="0" borderId="30" xfId="3" applyFont="1" applyFill="1" applyBorder="1" applyAlignment="1"/>
    <xf numFmtId="0" fontId="25" fillId="0" borderId="0" xfId="0" applyFont="1" applyFill="1"/>
    <xf numFmtId="8" fontId="20" fillId="0" borderId="0" xfId="0" applyNumberFormat="1" applyFont="1" applyFill="1" applyBorder="1" applyAlignment="1">
      <alignment horizontal="center"/>
    </xf>
    <xf numFmtId="0" fontId="22" fillId="0" borderId="15" xfId="0" applyFont="1" applyFill="1" applyBorder="1" applyAlignment="1"/>
    <xf numFmtId="169" fontId="11" fillId="0" borderId="2" xfId="3" applyNumberFormat="1" applyFont="1" applyFill="1" applyBorder="1" applyAlignment="1">
      <alignment horizontal="center"/>
    </xf>
    <xf numFmtId="10" fontId="11" fillId="0" borderId="2" xfId="2" applyNumberFormat="1" applyFont="1" applyFill="1" applyBorder="1" applyAlignment="1">
      <alignment horizontal="center"/>
    </xf>
    <xf numFmtId="169" fontId="14" fillId="8" borderId="17" xfId="3" applyNumberFormat="1" applyFont="1" applyFill="1" applyBorder="1"/>
    <xf numFmtId="0" fontId="22" fillId="0" borderId="2" xfId="0" applyFont="1" applyFill="1" applyBorder="1" applyAlignment="1"/>
    <xf numFmtId="10" fontId="22" fillId="0" borderId="2" xfId="2" applyNumberFormat="1" applyFont="1" applyFill="1" applyBorder="1" applyAlignment="1">
      <alignment horizontal="center"/>
    </xf>
    <xf numFmtId="169" fontId="14" fillId="8" borderId="17" xfId="3" applyNumberFormat="1" applyFont="1" applyFill="1" applyBorder="1" applyAlignment="1"/>
    <xf numFmtId="8" fontId="20" fillId="0" borderId="0" xfId="5" applyNumberFormat="1" applyFont="1" applyFill="1" applyBorder="1" applyAlignment="1">
      <alignment horizontal="center"/>
    </xf>
    <xf numFmtId="8" fontId="20" fillId="0" borderId="0" xfId="0" applyNumberFormat="1" applyFont="1" applyBorder="1"/>
    <xf numFmtId="8" fontId="0" fillId="0" borderId="0" xfId="0" applyNumberFormat="1"/>
    <xf numFmtId="0" fontId="0" fillId="0" borderId="0" xfId="0" applyBorder="1"/>
    <xf numFmtId="0" fontId="0" fillId="0" borderId="13" xfId="0" applyBorder="1"/>
    <xf numFmtId="10" fontId="0" fillId="0" borderId="0" xfId="2" applyNumberFormat="1" applyFont="1"/>
    <xf numFmtId="10" fontId="10" fillId="0" borderId="0" xfId="0" applyNumberFormat="1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9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2" fontId="19" fillId="0" borderId="0" xfId="0" applyNumberFormat="1" applyFont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10" fontId="10" fillId="0" borderId="2" xfId="0" applyNumberFormat="1" applyFont="1" applyFill="1" applyBorder="1" applyAlignment="1">
      <alignment horizontal="center"/>
    </xf>
    <xf numFmtId="165" fontId="0" fillId="0" borderId="0" xfId="0" applyNumberFormat="1"/>
    <xf numFmtId="172" fontId="0" fillId="0" borderId="0" xfId="0" applyNumberFormat="1"/>
    <xf numFmtId="0" fontId="13" fillId="0" borderId="17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18" fillId="6" borderId="5" xfId="0" applyFont="1" applyFill="1" applyBorder="1" applyAlignment="1">
      <alignment horizontal="center"/>
    </xf>
    <xf numFmtId="165" fontId="12" fillId="11" borderId="3" xfId="3" applyNumberFormat="1" applyFont="1" applyFill="1" applyBorder="1" applyAlignment="1">
      <alignment horizontal="center"/>
    </xf>
    <xf numFmtId="165" fontId="12" fillId="11" borderId="4" xfId="3" applyNumberFormat="1" applyFont="1" applyFill="1" applyBorder="1" applyAlignment="1">
      <alignment horizontal="center"/>
    </xf>
    <xf numFmtId="165" fontId="12" fillId="11" borderId="5" xfId="3" applyNumberFormat="1" applyFont="1" applyFill="1" applyBorder="1" applyAlignment="1">
      <alignment horizontal="center"/>
    </xf>
    <xf numFmtId="0" fontId="19" fillId="0" borderId="18" xfId="0" applyFont="1" applyBorder="1"/>
    <xf numFmtId="0" fontId="9" fillId="0" borderId="0" xfId="0" applyFont="1"/>
    <xf numFmtId="6" fontId="20" fillId="0" borderId="0" xfId="0" applyNumberFormat="1" applyFont="1" applyFill="1" applyBorder="1" applyAlignment="1">
      <alignment horizontal="center"/>
    </xf>
    <xf numFmtId="165" fontId="14" fillId="0" borderId="9" xfId="3" applyNumberFormat="1" applyFont="1" applyFill="1" applyBorder="1" applyAlignment="1">
      <alignment horizontal="right"/>
    </xf>
    <xf numFmtId="0" fontId="20" fillId="0" borderId="9" xfId="0" applyFont="1" applyFill="1" applyBorder="1" applyAlignment="1">
      <alignment horizontal="left"/>
    </xf>
    <xf numFmtId="167" fontId="14" fillId="0" borderId="9" xfId="3" applyNumberFormat="1" applyFont="1" applyFill="1" applyBorder="1" applyAlignment="1">
      <alignment horizontal="right"/>
    </xf>
    <xf numFmtId="6" fontId="10" fillId="0" borderId="0" xfId="0" applyNumberFormat="1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10" fontId="14" fillId="0" borderId="30" xfId="2" applyNumberFormat="1" applyFont="1" applyFill="1" applyBorder="1" applyAlignment="1">
      <alignment horizontal="center"/>
    </xf>
    <xf numFmtId="8" fontId="20" fillId="0" borderId="0" xfId="8" applyNumberFormat="1" applyFont="1" applyFill="1" applyBorder="1" applyAlignment="1">
      <alignment horizontal="center"/>
    </xf>
    <xf numFmtId="49" fontId="27" fillId="0" borderId="13" xfId="0" applyNumberFormat="1" applyFont="1" applyFill="1" applyBorder="1" applyAlignment="1">
      <alignment horizontal="center"/>
    </xf>
    <xf numFmtId="0" fontId="14" fillId="0" borderId="39" xfId="3" applyFont="1" applyFill="1" applyBorder="1"/>
    <xf numFmtId="0" fontId="14" fillId="0" borderId="40" xfId="3" applyFont="1" applyFill="1" applyBorder="1" applyAlignment="1">
      <alignment horizontal="center"/>
    </xf>
    <xf numFmtId="165" fontId="14" fillId="0" borderId="40" xfId="3" applyNumberFormat="1" applyFont="1" applyFill="1" applyBorder="1" applyAlignment="1">
      <alignment horizontal="center"/>
    </xf>
    <xf numFmtId="2" fontId="14" fillId="0" borderId="40" xfId="3" applyNumberFormat="1" applyFont="1" applyFill="1" applyBorder="1" applyAlignment="1">
      <alignment horizontal="center"/>
    </xf>
    <xf numFmtId="165" fontId="14" fillId="0" borderId="41" xfId="3" applyNumberFormat="1" applyFont="1" applyFill="1" applyBorder="1"/>
    <xf numFmtId="165" fontId="14" fillId="0" borderId="42" xfId="3" applyNumberFormat="1" applyFont="1" applyFill="1" applyBorder="1"/>
    <xf numFmtId="165" fontId="14" fillId="0" borderId="42" xfId="3" applyNumberFormat="1" applyFont="1" applyFill="1" applyBorder="1" applyAlignment="1"/>
    <xf numFmtId="49" fontId="26" fillId="0" borderId="13" xfId="0" applyNumberFormat="1" applyFont="1" applyFill="1" applyBorder="1" applyAlignment="1">
      <alignment horizontal="center"/>
    </xf>
    <xf numFmtId="169" fontId="14" fillId="0" borderId="13" xfId="3" applyNumberFormat="1" applyFont="1" applyFill="1" applyBorder="1"/>
    <xf numFmtId="0" fontId="14" fillId="0" borderId="6" xfId="3" applyFont="1" applyFill="1" applyBorder="1"/>
    <xf numFmtId="0" fontId="14" fillId="0" borderId="30" xfId="3" applyFont="1" applyFill="1" applyBorder="1" applyAlignment="1">
      <alignment horizontal="center"/>
    </xf>
    <xf numFmtId="9" fontId="14" fillId="0" borderId="30" xfId="2" applyFont="1" applyFill="1" applyBorder="1" applyAlignment="1">
      <alignment horizontal="center"/>
    </xf>
    <xf numFmtId="0" fontId="9" fillId="0" borderId="13" xfId="0" applyFont="1" applyBorder="1"/>
    <xf numFmtId="0" fontId="17" fillId="0" borderId="6" xfId="0" applyFont="1" applyFill="1" applyBorder="1" applyAlignment="1"/>
    <xf numFmtId="0" fontId="17" fillId="0" borderId="30" xfId="0" applyFont="1" applyFill="1" applyBorder="1" applyAlignment="1"/>
    <xf numFmtId="9" fontId="17" fillId="0" borderId="30" xfId="0" applyNumberFormat="1" applyFont="1" applyFill="1" applyBorder="1" applyAlignment="1">
      <alignment horizontal="center"/>
    </xf>
    <xf numFmtId="0" fontId="14" fillId="0" borderId="30" xfId="3" applyFont="1" applyFill="1" applyBorder="1" applyAlignment="1"/>
    <xf numFmtId="0" fontId="9" fillId="0" borderId="8" xfId="0" applyFont="1" applyBorder="1"/>
    <xf numFmtId="0" fontId="14" fillId="0" borderId="43" xfId="3" applyFont="1" applyFill="1" applyBorder="1"/>
    <xf numFmtId="0" fontId="14" fillId="0" borderId="44" xfId="3" applyFont="1" applyFill="1" applyBorder="1" applyAlignment="1">
      <alignment horizontal="center"/>
    </xf>
    <xf numFmtId="9" fontId="14" fillId="0" borderId="2" xfId="2" applyFont="1" applyFill="1" applyBorder="1" applyAlignment="1">
      <alignment horizontal="center"/>
    </xf>
    <xf numFmtId="2" fontId="14" fillId="0" borderId="44" xfId="3" applyNumberFormat="1" applyFont="1" applyFill="1" applyBorder="1" applyAlignment="1">
      <alignment horizontal="center"/>
    </xf>
    <xf numFmtId="169" fontId="14" fillId="8" borderId="45" xfId="3" applyNumberFormat="1" applyFont="1" applyFill="1" applyBorder="1"/>
    <xf numFmtId="0" fontId="17" fillId="0" borderId="15" xfId="0" applyFont="1" applyFill="1" applyBorder="1" applyAlignment="1"/>
    <xf numFmtId="0" fontId="17" fillId="0" borderId="2" xfId="0" applyFont="1" applyFill="1" applyBorder="1" applyAlignment="1"/>
    <xf numFmtId="9" fontId="17" fillId="0" borderId="2" xfId="0" applyNumberFormat="1" applyFont="1" applyBorder="1" applyAlignment="1">
      <alignment horizontal="center"/>
    </xf>
    <xf numFmtId="0" fontId="11" fillId="0" borderId="0" xfId="3" applyBorder="1"/>
    <xf numFmtId="0" fontId="11" fillId="0" borderId="0" xfId="3" applyBorder="1" applyAlignment="1">
      <alignment horizontal="center"/>
    </xf>
    <xf numFmtId="8" fontId="0" fillId="0" borderId="0" xfId="0" applyNumberFormat="1" applyFill="1"/>
    <xf numFmtId="169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0" fontId="0" fillId="0" borderId="0" xfId="2" applyNumberFormat="1" applyFont="1" applyFill="1" applyBorder="1"/>
    <xf numFmtId="8" fontId="0" fillId="0" borderId="0" xfId="0" applyNumberFormat="1" applyFont="1" applyFill="1" applyBorder="1" applyAlignment="1">
      <alignment horizontal="center"/>
    </xf>
    <xf numFmtId="8" fontId="28" fillId="0" borderId="0" xfId="0" applyNumberFormat="1" applyFont="1" applyFill="1" applyBorder="1" applyAlignment="1">
      <alignment horizontal="center"/>
    </xf>
    <xf numFmtId="9" fontId="2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10" fontId="30" fillId="0" borderId="0" xfId="0" applyNumberFormat="1" applyFont="1" applyFill="1" applyBorder="1" applyAlignment="1">
      <alignment horizontal="center"/>
    </xf>
    <xf numFmtId="2" fontId="31" fillId="0" borderId="0" xfId="3" applyNumberFormat="1" applyFont="1" applyFill="1" applyBorder="1" applyAlignment="1">
      <alignment horizontal="center"/>
    </xf>
    <xf numFmtId="165" fontId="11" fillId="0" borderId="0" xfId="3" applyNumberFormat="1" applyFont="1" applyFill="1" applyBorder="1"/>
    <xf numFmtId="0" fontId="32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14" fillId="0" borderId="0" xfId="6" applyNumberFormat="1" applyFont="1" applyFill="1" applyBorder="1"/>
    <xf numFmtId="10" fontId="20" fillId="0" borderId="2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0" fontId="29" fillId="0" borderId="0" xfId="3" applyFont="1" applyFill="1" applyBorder="1" applyAlignment="1"/>
    <xf numFmtId="165" fontId="29" fillId="0" borderId="0" xfId="3" applyNumberFormat="1" applyFont="1" applyFill="1" applyBorder="1" applyAlignment="1"/>
    <xf numFmtId="2" fontId="29" fillId="0" borderId="0" xfId="3" applyNumberFormat="1" applyFont="1" applyFill="1" applyBorder="1" applyAlignment="1"/>
    <xf numFmtId="169" fontId="29" fillId="0" borderId="0" xfId="3" applyNumberFormat="1" applyFont="1" applyFill="1" applyBorder="1" applyAlignment="1"/>
    <xf numFmtId="0" fontId="27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49" fontId="19" fillId="0" borderId="0" xfId="0" applyNumberFormat="1" applyFont="1" applyBorder="1" applyAlignment="1">
      <alignment horizontal="center"/>
    </xf>
    <xf numFmtId="9" fontId="30" fillId="0" borderId="0" xfId="0" applyNumberFormat="1" applyFont="1" applyFill="1" applyBorder="1" applyAlignment="1">
      <alignment horizontal="center"/>
    </xf>
    <xf numFmtId="0" fontId="33" fillId="0" borderId="0" xfId="3" applyFont="1" applyFill="1" applyBorder="1" applyAlignment="1"/>
    <xf numFmtId="0" fontId="20" fillId="6" borderId="35" xfId="0" applyFont="1" applyFill="1" applyBorder="1" applyAlignment="1">
      <alignment horizontal="center"/>
    </xf>
    <xf numFmtId="0" fontId="20" fillId="6" borderId="36" xfId="0" applyFont="1" applyFill="1" applyBorder="1" applyAlignment="1">
      <alignment horizontal="center"/>
    </xf>
    <xf numFmtId="0" fontId="20" fillId="6" borderId="37" xfId="0" applyFont="1" applyFill="1" applyBorder="1" applyAlignment="1">
      <alignment horizontal="center"/>
    </xf>
    <xf numFmtId="0" fontId="19" fillId="6" borderId="9" xfId="0" applyFont="1" applyFill="1" applyBorder="1"/>
    <xf numFmtId="0" fontId="19" fillId="6" borderId="0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6" xfId="0" applyFont="1" applyFill="1" applyBorder="1"/>
    <xf numFmtId="0" fontId="19" fillId="6" borderId="30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0" xfId="0" applyFont="1" applyFill="1" applyBorder="1"/>
    <xf numFmtId="0" fontId="19" fillId="6" borderId="15" xfId="0" applyFont="1" applyFill="1" applyBorder="1"/>
    <xf numFmtId="0" fontId="19" fillId="6" borderId="2" xfId="0" applyFont="1" applyFill="1" applyBorder="1"/>
    <xf numFmtId="168" fontId="19" fillId="6" borderId="17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12" fillId="12" borderId="10" xfId="9" applyFont="1" applyFill="1" applyBorder="1"/>
    <xf numFmtId="0" fontId="16" fillId="12" borderId="11" xfId="9" applyFont="1" applyFill="1" applyBorder="1"/>
    <xf numFmtId="0" fontId="11" fillId="0" borderId="0" xfId="9"/>
    <xf numFmtId="0" fontId="16" fillId="12" borderId="0" xfId="9" applyFont="1" applyFill="1" applyBorder="1"/>
    <xf numFmtId="0" fontId="14" fillId="12" borderId="13" xfId="9" applyFont="1" applyFill="1" applyBorder="1"/>
    <xf numFmtId="0" fontId="17" fillId="12" borderId="2" xfId="9" applyFont="1" applyFill="1" applyBorder="1"/>
    <xf numFmtId="0" fontId="14" fillId="12" borderId="17" xfId="9" applyFont="1" applyFill="1" applyBorder="1"/>
    <xf numFmtId="0" fontId="14" fillId="0" borderId="0" xfId="9" applyFont="1"/>
    <xf numFmtId="0" fontId="34" fillId="13" borderId="0" xfId="10" applyFont="1" applyFill="1"/>
    <xf numFmtId="0" fontId="34" fillId="14" borderId="0" xfId="10" applyFont="1" applyFill="1"/>
    <xf numFmtId="0" fontId="34" fillId="15" borderId="0" xfId="10" applyFont="1" applyFill="1"/>
    <xf numFmtId="0" fontId="34" fillId="16" borderId="0" xfId="10" applyFont="1" applyFill="1"/>
    <xf numFmtId="14" fontId="14" fillId="0" borderId="0" xfId="9" applyNumberFormat="1" applyFont="1"/>
    <xf numFmtId="170" fontId="11" fillId="0" borderId="0" xfId="9" applyNumberFormat="1"/>
    <xf numFmtId="0" fontId="11" fillId="0" borderId="46" xfId="9" applyBorder="1"/>
    <xf numFmtId="0" fontId="11" fillId="0" borderId="47" xfId="9" applyBorder="1"/>
    <xf numFmtId="0" fontId="11" fillId="0" borderId="4" xfId="9" applyBorder="1"/>
    <xf numFmtId="0" fontId="11" fillId="0" borderId="5" xfId="9" applyBorder="1"/>
    <xf numFmtId="2" fontId="11" fillId="0" borderId="0" xfId="9" applyNumberFormat="1"/>
    <xf numFmtId="0" fontId="11" fillId="0" borderId="0" xfId="9" applyBorder="1"/>
    <xf numFmtId="0" fontId="14" fillId="0" borderId="0" xfId="11" applyFont="1"/>
    <xf numFmtId="0" fontId="11" fillId="0" borderId="0" xfId="11"/>
    <xf numFmtId="0" fontId="35" fillId="0" borderId="0" xfId="11" applyFont="1"/>
    <xf numFmtId="0" fontId="36" fillId="0" borderId="0" xfId="11" applyFont="1"/>
    <xf numFmtId="0" fontId="11" fillId="0" borderId="48" xfId="11" applyBorder="1"/>
    <xf numFmtId="0" fontId="11" fillId="0" borderId="49" xfId="11" applyBorder="1"/>
    <xf numFmtId="0" fontId="11" fillId="0" borderId="50" xfId="11" applyBorder="1"/>
    <xf numFmtId="0" fontId="11" fillId="0" borderId="51" xfId="11" applyBorder="1"/>
    <xf numFmtId="0" fontId="11" fillId="0" borderId="0" xfId="11" applyBorder="1" applyAlignment="1">
      <alignment horizontal="right"/>
    </xf>
    <xf numFmtId="0" fontId="11" fillId="0" borderId="0" xfId="11" applyBorder="1"/>
    <xf numFmtId="0" fontId="11" fillId="0" borderId="52" xfId="11" applyBorder="1"/>
    <xf numFmtId="0" fontId="37" fillId="0" borderId="52" xfId="11" applyFont="1" applyBorder="1" applyAlignment="1">
      <alignment horizontal="center"/>
    </xf>
    <xf numFmtId="170" fontId="11" fillId="0" borderId="46" xfId="9" applyNumberFormat="1" applyBorder="1"/>
    <xf numFmtId="0" fontId="11" fillId="0" borderId="53" xfId="11" applyBorder="1"/>
    <xf numFmtId="170" fontId="11" fillId="0" borderId="52" xfId="11" applyNumberFormat="1" applyBorder="1" applyAlignment="1">
      <alignment horizontal="center"/>
    </xf>
    <xf numFmtId="0" fontId="11" fillId="0" borderId="52" xfId="11" applyBorder="1" applyAlignment="1">
      <alignment horizontal="center"/>
    </xf>
    <xf numFmtId="0" fontId="11" fillId="0" borderId="51" xfId="11" applyBorder="1" applyAlignment="1">
      <alignment horizontal="right"/>
    </xf>
    <xf numFmtId="0" fontId="11" fillId="0" borderId="0" xfId="11" applyBorder="1" applyAlignment="1">
      <alignment horizontal="right"/>
    </xf>
    <xf numFmtId="0" fontId="14" fillId="8" borderId="0" xfId="11" applyFont="1" applyFill="1" applyBorder="1" applyAlignment="1">
      <alignment horizontal="right"/>
    </xf>
    <xf numFmtId="10" fontId="14" fillId="8" borderId="52" xfId="7" applyNumberFormat="1" applyFont="1" applyFill="1" applyBorder="1" applyAlignment="1">
      <alignment horizontal="center"/>
    </xf>
    <xf numFmtId="0" fontId="11" fillId="0" borderId="54" xfId="11" applyBorder="1"/>
    <xf numFmtId="0" fontId="11" fillId="0" borderId="30" xfId="11" applyBorder="1"/>
    <xf numFmtId="0" fontId="11" fillId="0" borderId="55" xfId="11" applyBorder="1"/>
  </cellXfs>
  <cellStyles count="204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ad 3" xfId="37"/>
    <cellStyle name="Body: normal cell" xfId="38"/>
    <cellStyle name="Calculation 2" xfId="39"/>
    <cellStyle name="Check Cell 2" xfId="40"/>
    <cellStyle name="Comma [0] 2" xfId="41"/>
    <cellStyle name="Comma 10" xfId="42"/>
    <cellStyle name="Comma 11" xfId="43"/>
    <cellStyle name="Comma 2" xfId="44"/>
    <cellStyle name="Comma 2 2" xfId="45"/>
    <cellStyle name="Comma 2 3" xfId="46"/>
    <cellStyle name="Comma 3" xfId="47"/>
    <cellStyle name="Comma 3 2" xfId="48"/>
    <cellStyle name="Comma 3 3" xfId="49"/>
    <cellStyle name="Comma 4" xfId="50"/>
    <cellStyle name="Comma 4 2" xfId="51"/>
    <cellStyle name="Comma 5" xfId="52"/>
    <cellStyle name="Comma 5 2" xfId="53"/>
    <cellStyle name="Comma 6" xfId="54"/>
    <cellStyle name="Comma 6 2" xfId="55"/>
    <cellStyle name="Comma 7" xfId="56"/>
    <cellStyle name="Comma 7 2" xfId="57"/>
    <cellStyle name="Comma 8" xfId="58"/>
    <cellStyle name="Comma 9" xfId="59"/>
    <cellStyle name="Currency" xfId="1" builtinId="4"/>
    <cellStyle name="Currency [0] 2" xfId="60"/>
    <cellStyle name="Currency 2" xfId="4"/>
    <cellStyle name="Currency 2 2" xfId="61"/>
    <cellStyle name="Currency 2 2 2" xfId="62"/>
    <cellStyle name="Currency 2 2 2 2" xfId="63"/>
    <cellStyle name="Currency 2 2 2 3" xfId="64"/>
    <cellStyle name="Currency 2 3" xfId="65"/>
    <cellStyle name="Currency 2 4" xfId="66"/>
    <cellStyle name="Currency 3" xfId="67"/>
    <cellStyle name="Currency 3 2" xfId="68"/>
    <cellStyle name="Currency 3 3" xfId="69"/>
    <cellStyle name="Currency 3 4" xfId="70"/>
    <cellStyle name="Currency 3 5" xfId="71"/>
    <cellStyle name="Currency 4" xfId="72"/>
    <cellStyle name="Currency 4 2" xfId="73"/>
    <cellStyle name="Currency 4 2 2" xfId="74"/>
    <cellStyle name="Currency 4 2 2 2" xfId="75"/>
    <cellStyle name="Currency 4 2 3" xfId="76"/>
    <cellStyle name="Currency 4 3" xfId="77"/>
    <cellStyle name="Currency 4 3 2" xfId="78"/>
    <cellStyle name="Currency 4 3 3" xfId="79"/>
    <cellStyle name="Currency 4 4" xfId="80"/>
    <cellStyle name="Currency 4 5" xfId="81"/>
    <cellStyle name="Currency 5" xfId="82"/>
    <cellStyle name="Currency 5 2" xfId="83"/>
    <cellStyle name="Currency 5 2 2" xfId="84"/>
    <cellStyle name="Currency 5 3" xfId="85"/>
    <cellStyle name="Currency 5 3 2" xfId="86"/>
    <cellStyle name="Currency 5 3 3" xfId="87"/>
    <cellStyle name="Currency 5 4" xfId="88"/>
    <cellStyle name="Currency 5 5" xfId="89"/>
    <cellStyle name="Currency 5 6" xfId="90"/>
    <cellStyle name="Currency 6" xfId="91"/>
    <cellStyle name="Currency 6 2" xfId="92"/>
    <cellStyle name="Currency 7" xfId="93"/>
    <cellStyle name="Currency 8" xfId="94"/>
    <cellStyle name="Currency 8 2" xfId="95"/>
    <cellStyle name="Currency 9" xfId="96"/>
    <cellStyle name="Explanatory Text 2" xfId="97"/>
    <cellStyle name="Font: Calibri, 9pt regular" xfId="98"/>
    <cellStyle name="Footnotes: top row" xfId="99"/>
    <cellStyle name="Good 2" xfId="100"/>
    <cellStyle name="Header: bottom row" xfId="101"/>
    <cellStyle name="Heading 1 2" xfId="102"/>
    <cellStyle name="Heading 2 2" xfId="103"/>
    <cellStyle name="Heading 3 2" xfId="104"/>
    <cellStyle name="Heading 4 2" xfId="105"/>
    <cellStyle name="Hyperlink 2" xfId="106"/>
    <cellStyle name="Input 2" xfId="107"/>
    <cellStyle name="Linked Cell 2" xfId="108"/>
    <cellStyle name="Neutral 2" xfId="109"/>
    <cellStyle name="Normal" xfId="0" builtinId="0"/>
    <cellStyle name="Normal 10" xfId="9"/>
    <cellStyle name="Normal 10 2" xfId="110"/>
    <cellStyle name="Normal 10 3" xfId="111"/>
    <cellStyle name="Normal 10 3 2" xfId="112"/>
    <cellStyle name="Normal 11" xfId="113"/>
    <cellStyle name="Normal 11 2" xfId="114"/>
    <cellStyle name="Normal 11 2 2" xfId="115"/>
    <cellStyle name="Normal 12" xfId="116"/>
    <cellStyle name="Normal 13" xfId="117"/>
    <cellStyle name="Normal 13 2" xfId="118"/>
    <cellStyle name="Normal 14" xfId="8"/>
    <cellStyle name="Normal 14 2" xfId="119"/>
    <cellStyle name="Normal 15" xfId="120"/>
    <cellStyle name="Normal 16" xfId="121"/>
    <cellStyle name="Normal 17" xfId="122"/>
    <cellStyle name="Normal 17 2" xfId="123"/>
    <cellStyle name="Normal 18" xfId="124"/>
    <cellStyle name="Normal 19" xfId="125"/>
    <cellStyle name="Normal 2" xfId="3"/>
    <cellStyle name="Normal 2 2" xfId="126"/>
    <cellStyle name="Normal 2 2 2" xfId="5"/>
    <cellStyle name="Normal 2 2 2 2" xfId="6"/>
    <cellStyle name="Normal 2 2 3" xfId="127"/>
    <cellStyle name="Normal 2 3" xfId="128"/>
    <cellStyle name="Normal 2 4" xfId="129"/>
    <cellStyle name="Normal 2 4 2" xfId="130"/>
    <cellStyle name="Normal 2 4 3" xfId="131"/>
    <cellStyle name="Normal 2 5" xfId="132"/>
    <cellStyle name="Normal 2 5 2" xfId="133"/>
    <cellStyle name="Normal 20" xfId="134"/>
    <cellStyle name="Normal 21" xfId="135"/>
    <cellStyle name="Normal 3" xfId="136"/>
    <cellStyle name="Normal 3 2" xfId="137"/>
    <cellStyle name="Normal 3 2 2" xfId="138"/>
    <cellStyle name="Normal 3 3" xfId="139"/>
    <cellStyle name="Normal 3 3 2" xfId="140"/>
    <cellStyle name="Normal 3 4" xfId="141"/>
    <cellStyle name="Normal 3 4 2" xfId="142"/>
    <cellStyle name="Normal 3 5" xfId="143"/>
    <cellStyle name="Normal 3 9" xfId="144"/>
    <cellStyle name="Normal 4" xfId="145"/>
    <cellStyle name="Normal 4 2" xfId="11"/>
    <cellStyle name="Normal 4 2 2" xfId="146"/>
    <cellStyle name="Normal 4 2 2 2" xfId="147"/>
    <cellStyle name="Normal 4 2 3" xfId="148"/>
    <cellStyle name="Normal 4 2 3 2" xfId="149"/>
    <cellStyle name="Normal 4 3" xfId="150"/>
    <cellStyle name="Normal 4 3 2" xfId="151"/>
    <cellStyle name="Normal 5" xfId="152"/>
    <cellStyle name="Normal 5 2" xfId="153"/>
    <cellStyle name="Normal 6" xfId="154"/>
    <cellStyle name="Normal 6 2" xfId="10"/>
    <cellStyle name="Normal 6 2 2" xfId="155"/>
    <cellStyle name="Normal 6 3" xfId="156"/>
    <cellStyle name="Normal 7" xfId="157"/>
    <cellStyle name="Normal 7 2" xfId="158"/>
    <cellStyle name="Normal 7 3" xfId="159"/>
    <cellStyle name="Normal 8" xfId="160"/>
    <cellStyle name="Normal 8 2" xfId="161"/>
    <cellStyle name="Normal 8 3" xfId="162"/>
    <cellStyle name="Normal 8 4" xfId="163"/>
    <cellStyle name="Normal 8 5" xfId="164"/>
    <cellStyle name="Normal 9" xfId="165"/>
    <cellStyle name="Normal 9 2" xfId="166"/>
    <cellStyle name="Normal 9 2 2" xfId="167"/>
    <cellStyle name="Normal 9 2 3" xfId="168"/>
    <cellStyle name="Normal 9 3" xfId="169"/>
    <cellStyle name="Note 2" xfId="170"/>
    <cellStyle name="Note 2 2" xfId="171"/>
    <cellStyle name="Output 2" xfId="172"/>
    <cellStyle name="Parent row" xfId="173"/>
    <cellStyle name="Percent" xfId="2" builtinId="5"/>
    <cellStyle name="Percent 10" xfId="174"/>
    <cellStyle name="Percent 10 2" xfId="175"/>
    <cellStyle name="Percent 11" xfId="176"/>
    <cellStyle name="Percent 2" xfId="7"/>
    <cellStyle name="Percent 2 2" xfId="177"/>
    <cellStyle name="Percent 2 2 2" xfId="178"/>
    <cellStyle name="Percent 2 3" xfId="179"/>
    <cellStyle name="Percent 2 4" xfId="180"/>
    <cellStyle name="Percent 2 5" xfId="181"/>
    <cellStyle name="Percent 3" xfId="182"/>
    <cellStyle name="Percent 3 2" xfId="183"/>
    <cellStyle name="Percent 3 2 2" xfId="184"/>
    <cellStyle name="Percent 4" xfId="185"/>
    <cellStyle name="Percent 4 2" xfId="186"/>
    <cellStyle name="Percent 4 3" xfId="187"/>
    <cellStyle name="Percent 5" xfId="188"/>
    <cellStyle name="Percent 5 2" xfId="189"/>
    <cellStyle name="Percent 5 2 2" xfId="190"/>
    <cellStyle name="Percent 5 3" xfId="191"/>
    <cellStyle name="Percent 6" xfId="192"/>
    <cellStyle name="Percent 6 2" xfId="193"/>
    <cellStyle name="Percent 6 3" xfId="194"/>
    <cellStyle name="Percent 7" xfId="195"/>
    <cellStyle name="Percent 7 2" xfId="196"/>
    <cellStyle name="Percent 8" xfId="197"/>
    <cellStyle name="Percent 9" xfId="198"/>
    <cellStyle name="Table title" xfId="199"/>
    <cellStyle name="Title 2" xfId="200"/>
    <cellStyle name="Title 2 2" xfId="201"/>
    <cellStyle name="Total 2" xfId="202"/>
    <cellStyle name="Warning Text 2" xfId="2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Youth%20and%20Young%20Adults%20Support%20Services\5.%20Final%20Rate%20Documents\Final%20Post%20PH%20Models%20.%20Day%20Serv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Family%20Trans%20Support-CMR%20412\Rate%20Review%20FY21\3.%20Proposal,%20Hearing%20&amp;%20Sign-off\Website\FY21%20Models%20%201.8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E\X\Data%20&amp;%20Reporting%20Tools\STARR%20Utilization\STARR%20Utilization%20Tool%20FY10%20Ju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Impact "/>
      <sheetName val="Model I"/>
      <sheetName val="Model II"/>
      <sheetName val="Model III"/>
      <sheetName val="Model IV"/>
      <sheetName val="Clinc Add On"/>
      <sheetName val="DC or Peer Add On"/>
      <sheetName val="Pivots"/>
      <sheetName val="Salary"/>
      <sheetName val="Occupancy "/>
      <sheetName val="Spring 2016 Forecast"/>
      <sheetName val="VehicleAddOn"/>
      <sheetName val="DMH Contract Spend FY17"/>
      <sheetName val="FY17 Contracts Raw Data"/>
      <sheetName val="FY15 UF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27">
          <cell r="E27">
            <v>0.10213346631589997</v>
          </cell>
        </row>
        <row r="28">
          <cell r="E28">
            <v>7.5016021950550016E-2</v>
          </cell>
        </row>
        <row r="29">
          <cell r="E29">
            <v>5.3120713381439047E-2</v>
          </cell>
        </row>
      </sheetData>
      <sheetData sheetId="8">
        <row r="28">
          <cell r="AD28">
            <v>31575.326535341828</v>
          </cell>
        </row>
      </sheetData>
      <sheetData sheetId="9" refreshError="1"/>
      <sheetData sheetId="10">
        <row r="26">
          <cell r="BM26">
            <v>4.3768475255077849E-2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irect Care  Add On"/>
      <sheetName val="4624-Emergency Shelters"/>
      <sheetName val="FTS 4624-Emergency Shelters"/>
      <sheetName val="4625 - Residential Housing Stab"/>
      <sheetName val="DVSMT"/>
      <sheetName val="FTS - 4625- Resi Housing Stab"/>
      <sheetName val="4626-DVSMT Shelters"/>
      <sheetName val="Training Analysis"/>
      <sheetName val="GNBWS Budget"/>
      <sheetName val="FTS-DVSMT Shelters"/>
      <sheetName val="FY19CAF"/>
      <sheetName val="GNBWS UFRs"/>
      <sheetName val="CAF 2019 Fall"/>
      <sheetName val="Fiscal Impact "/>
    </sheetNames>
    <sheetDataSet>
      <sheetData sheetId="0">
        <row r="4">
          <cell r="C4">
            <v>32198.400000000001</v>
          </cell>
        </row>
        <row r="30">
          <cell r="C30">
            <v>0.22309999999999999</v>
          </cell>
        </row>
      </sheetData>
      <sheetData sheetId="1"/>
      <sheetData sheetId="2"/>
      <sheetData sheetId="3">
        <row r="5">
          <cell r="C5">
            <v>49579.132358515446</v>
          </cell>
        </row>
        <row r="6">
          <cell r="C6">
            <v>49579.132358515446</v>
          </cell>
        </row>
        <row r="7">
          <cell r="C7">
            <v>49579.132358515446</v>
          </cell>
        </row>
        <row r="22">
          <cell r="C22">
            <v>5.4696591214482222</v>
          </cell>
        </row>
        <row r="23">
          <cell r="C23">
            <v>18.051305786397574</v>
          </cell>
        </row>
        <row r="25">
          <cell r="C25">
            <v>7.1445278989458361</v>
          </cell>
        </row>
        <row r="26">
          <cell r="C26">
            <v>6.4138608687749894</v>
          </cell>
        </row>
        <row r="27">
          <cell r="C27">
            <v>5.4800027262813513</v>
          </cell>
        </row>
        <row r="28">
          <cell r="C28">
            <v>10.200604325699743</v>
          </cell>
        </row>
        <row r="30">
          <cell r="C30">
            <v>9.9091584878226087</v>
          </cell>
        </row>
        <row r="31">
          <cell r="C31">
            <v>205.24354780079966</v>
          </cell>
        </row>
        <row r="32">
          <cell r="C32">
            <v>3.678990594329334</v>
          </cell>
        </row>
      </sheetData>
      <sheetData sheetId="4"/>
      <sheetData sheetId="5"/>
      <sheetData sheetId="6">
        <row r="23">
          <cell r="C23">
            <v>5.4696591214482222</v>
          </cell>
        </row>
        <row r="26">
          <cell r="C26">
            <v>7.1445278989458361</v>
          </cell>
        </row>
        <row r="27">
          <cell r="C27">
            <v>6.4138608687749894</v>
          </cell>
        </row>
        <row r="28">
          <cell r="C28">
            <v>5.4800027262813513</v>
          </cell>
        </row>
        <row r="29">
          <cell r="C29">
            <v>10.200604325699743</v>
          </cell>
        </row>
      </sheetData>
      <sheetData sheetId="7"/>
      <sheetData sheetId="8"/>
      <sheetData sheetId="9"/>
      <sheetData sheetId="10"/>
      <sheetData sheetId="11">
        <row r="27">
          <cell r="BK27">
            <v>2.6217739003998465E-2</v>
          </cell>
        </row>
      </sheetData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showGridLines="0" workbookViewId="0">
      <selection activeCell="F16" sqref="F16"/>
    </sheetView>
  </sheetViews>
  <sheetFormatPr defaultColWidth="8.88671875" defaultRowHeight="14.4"/>
  <cols>
    <col min="2" max="2" width="22.109375" customWidth="1"/>
    <col min="3" max="3" width="7.109375" customWidth="1"/>
    <col min="4" max="4" width="12.6640625" customWidth="1"/>
    <col min="6" max="6" width="20.33203125" bestFit="1" customWidth="1"/>
    <col min="7" max="7" width="12" hidden="1" customWidth="1"/>
    <col min="8" max="8" width="14.44140625" customWidth="1"/>
    <col min="9" max="9" width="53" customWidth="1"/>
  </cols>
  <sheetData>
    <row r="1" spans="2:9" ht="15" thickBot="1"/>
    <row r="2" spans="2:9" ht="15" thickBot="1">
      <c r="B2" s="1" t="s">
        <v>0</v>
      </c>
      <c r="C2" s="1"/>
      <c r="D2" s="1"/>
      <c r="F2" s="2" t="s">
        <v>1</v>
      </c>
      <c r="G2" s="3"/>
      <c r="H2" s="3"/>
      <c r="I2" s="4"/>
    </row>
    <row r="3" spans="2:9" ht="15" thickBot="1">
      <c r="B3" s="5" t="s">
        <v>2</v>
      </c>
      <c r="C3" s="6"/>
      <c r="D3" s="7"/>
      <c r="F3" s="8"/>
      <c r="G3" s="9" t="s">
        <v>3</v>
      </c>
      <c r="H3" s="9" t="s">
        <v>4</v>
      </c>
      <c r="I3" s="10" t="s">
        <v>5</v>
      </c>
    </row>
    <row r="4" spans="2:9">
      <c r="B4" s="11" t="s">
        <v>6</v>
      </c>
      <c r="C4" s="12"/>
      <c r="D4" s="13">
        <f>H5*0.25</f>
        <v>8049.6</v>
      </c>
      <c r="F4" s="14" t="s">
        <v>7</v>
      </c>
      <c r="G4" s="15"/>
      <c r="H4" s="15"/>
      <c r="I4" s="16"/>
    </row>
    <row r="5" spans="2:9">
      <c r="B5" s="11" t="s">
        <v>8</v>
      </c>
      <c r="C5" s="17">
        <f>H6</f>
        <v>0.22309999999999999</v>
      </c>
      <c r="D5" s="18">
        <f>C5*D4</f>
        <v>1795.8657599999999</v>
      </c>
      <c r="F5" s="19" t="s">
        <v>9</v>
      </c>
      <c r="G5" s="20">
        <f>[1]Salary!$AD$28</f>
        <v>31575.326535341828</v>
      </c>
      <c r="H5" s="21">
        <f>[2]Chart!C4</f>
        <v>32198.400000000001</v>
      </c>
      <c r="I5" s="22" t="s">
        <v>10</v>
      </c>
    </row>
    <row r="6" spans="2:9" ht="15" thickBot="1">
      <c r="B6" s="11" t="s">
        <v>11</v>
      </c>
      <c r="C6" s="17">
        <f>H7</f>
        <v>0.1237</v>
      </c>
      <c r="D6" s="23">
        <f>C6*D4</f>
        <v>995.73552000000007</v>
      </c>
      <c r="F6" s="24" t="s">
        <v>12</v>
      </c>
      <c r="G6" s="25">
        <f>[1]Pivots!$E$28+[1]Pivots!$E$29</f>
        <v>0.12813673533198905</v>
      </c>
      <c r="H6" s="26">
        <f>[2]Chart!C30</f>
        <v>0.22309999999999999</v>
      </c>
      <c r="I6" s="22" t="s">
        <v>13</v>
      </c>
    </row>
    <row r="7" spans="2:9" ht="15" thickTop="1">
      <c r="B7" s="27"/>
      <c r="C7" s="28"/>
      <c r="D7" s="18">
        <f>SUM(D4:D6)</f>
        <v>10841.201280000001</v>
      </c>
      <c r="F7" s="24" t="s">
        <v>14</v>
      </c>
      <c r="G7" s="29">
        <f>[1]Pivots!$E$27</f>
        <v>0.10213346631589997</v>
      </c>
      <c r="H7" s="30">
        <v>0.1237</v>
      </c>
      <c r="I7" s="22" t="s">
        <v>15</v>
      </c>
    </row>
    <row r="8" spans="2:9">
      <c r="B8" s="27" t="str">
        <f>F8</f>
        <v>PFLM</v>
      </c>
      <c r="C8" s="31">
        <f>H8</f>
        <v>3.7000000000000002E-3</v>
      </c>
      <c r="D8" s="32">
        <f>D4*C8</f>
        <v>29.783520000000003</v>
      </c>
      <c r="F8" s="24" t="s">
        <v>16</v>
      </c>
      <c r="G8" s="29"/>
      <c r="H8" s="30">
        <v>3.7000000000000002E-3</v>
      </c>
      <c r="I8" s="22" t="s">
        <v>17</v>
      </c>
    </row>
    <row r="9" spans="2:9" ht="15" thickBot="1">
      <c r="B9" s="11" t="s">
        <v>18</v>
      </c>
      <c r="C9" s="17">
        <f>H9</f>
        <v>1.7780248869661817E-2</v>
      </c>
      <c r="D9" s="32">
        <f>(D5+D6+D8)*C9</f>
        <v>50.164923901081025</v>
      </c>
      <c r="F9" s="33" t="s">
        <v>18</v>
      </c>
      <c r="G9" s="34"/>
      <c r="H9" s="34">
        <f>'4624-Emergency Shelters'!C38</f>
        <v>1.7780248869661817E-2</v>
      </c>
      <c r="I9" s="35" t="s">
        <v>19</v>
      </c>
    </row>
    <row r="10" spans="2:9" ht="15" thickBot="1">
      <c r="B10" s="36" t="s">
        <v>20</v>
      </c>
      <c r="C10" s="37"/>
      <c r="D10" s="38">
        <f>D7+D8+D9</f>
        <v>10921.149723901082</v>
      </c>
      <c r="F10" s="39"/>
      <c r="G10" s="40"/>
      <c r="H10" s="40"/>
      <c r="I10" s="41"/>
    </row>
    <row r="11" spans="2:9" ht="15" thickBot="1">
      <c r="B11" s="42" t="s">
        <v>21</v>
      </c>
      <c r="C11" s="43"/>
      <c r="D11" s="44">
        <f>D10/12</f>
        <v>910.09581032509016</v>
      </c>
    </row>
    <row r="13" spans="2:9">
      <c r="F13" s="45"/>
    </row>
    <row r="14" spans="2:9">
      <c r="F14" s="45"/>
    </row>
    <row r="21" spans="6:6">
      <c r="F21" s="46"/>
    </row>
  </sheetData>
  <mergeCells count="3">
    <mergeCell ref="B2:D2"/>
    <mergeCell ref="F2:I2"/>
    <mergeCell ref="B3:D3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zoomScale="70" zoomScaleNormal="70" workbookViewId="0">
      <selection activeCell="F16" sqref="F16"/>
    </sheetView>
  </sheetViews>
  <sheetFormatPr defaultColWidth="9.109375" defaultRowHeight="14.4"/>
  <cols>
    <col min="1" max="1" width="35.6640625" style="47" customWidth="1"/>
    <col min="2" max="2" width="28.44140625" style="47" bestFit="1" customWidth="1"/>
    <col min="3" max="3" width="21.33203125" style="47" customWidth="1"/>
    <col min="4" max="4" width="9.88671875" style="47" hidden="1" customWidth="1"/>
    <col min="5" max="5" width="5.109375" style="47" customWidth="1"/>
    <col min="6" max="6" width="27.88671875" style="47" customWidth="1"/>
    <col min="7" max="7" width="15.88671875" style="48" customWidth="1"/>
    <col min="8" max="9" width="11.6640625" style="48" customWidth="1"/>
    <col min="10" max="10" width="11.6640625" style="47" customWidth="1"/>
    <col min="11" max="11" width="5.5546875" style="47" bestFit="1" customWidth="1"/>
    <col min="12" max="12" width="33" style="47" customWidth="1"/>
    <col min="13" max="13" width="12.5546875" style="48" customWidth="1"/>
    <col min="14" max="14" width="11.109375" style="48" customWidth="1"/>
    <col min="15" max="15" width="12" style="48" customWidth="1"/>
    <col min="16" max="16" width="14.88671875" style="47" customWidth="1"/>
    <col min="17" max="16384" width="9.109375" style="47"/>
  </cols>
  <sheetData>
    <row r="1" spans="1:16" ht="15" thickBot="1"/>
    <row r="2" spans="1:16" ht="18" thickBot="1">
      <c r="A2" s="49" t="s">
        <v>22</v>
      </c>
      <c r="B2" s="50"/>
      <c r="C2" s="50"/>
      <c r="D2" s="51"/>
      <c r="F2" s="52" t="s">
        <v>23</v>
      </c>
      <c r="G2" s="53"/>
      <c r="H2" s="53"/>
      <c r="I2" s="53"/>
      <c r="J2" s="54"/>
      <c r="K2" s="55"/>
      <c r="L2" s="56" t="s">
        <v>24</v>
      </c>
      <c r="M2" s="57"/>
      <c r="N2" s="57"/>
      <c r="O2" s="57"/>
      <c r="P2" s="58"/>
    </row>
    <row r="3" spans="1:16" ht="18" customHeight="1">
      <c r="A3" s="59"/>
      <c r="B3" s="60"/>
      <c r="C3" s="61" t="s">
        <v>6</v>
      </c>
      <c r="D3" s="62" t="s">
        <v>25</v>
      </c>
      <c r="F3" s="63" t="s">
        <v>26</v>
      </c>
      <c r="G3" s="64" t="s">
        <v>27</v>
      </c>
      <c r="H3" s="65" t="s">
        <v>28</v>
      </c>
      <c r="I3" s="66">
        <v>365</v>
      </c>
      <c r="J3" s="67">
        <f>I3*G4</f>
        <v>2920</v>
      </c>
      <c r="K3" s="55"/>
      <c r="L3" s="63" t="s">
        <v>26</v>
      </c>
      <c r="M3" s="64" t="s">
        <v>27</v>
      </c>
      <c r="N3" s="65" t="s">
        <v>28</v>
      </c>
      <c r="O3" s="66">
        <v>365</v>
      </c>
      <c r="P3" s="67">
        <v>2920</v>
      </c>
    </row>
    <row r="4" spans="1:16" ht="15.6">
      <c r="A4" s="68" t="s">
        <v>29</v>
      </c>
      <c r="B4" s="69"/>
      <c r="C4" s="70"/>
      <c r="D4" s="71"/>
      <c r="F4" s="63"/>
      <c r="G4" s="72">
        <v>8</v>
      </c>
      <c r="H4" s="65"/>
      <c r="I4" s="66"/>
      <c r="J4" s="73"/>
      <c r="K4" s="55"/>
      <c r="L4" s="63"/>
      <c r="M4" s="72">
        <v>8</v>
      </c>
      <c r="N4" s="65"/>
      <c r="O4" s="66"/>
      <c r="P4" s="73"/>
    </row>
    <row r="5" spans="1:16" ht="27">
      <c r="A5" s="68" t="s">
        <v>30</v>
      </c>
      <c r="B5" s="69"/>
      <c r="C5" s="74">
        <f>48312.4881534739*(1+$C$37)</f>
        <v>49579.132358515446</v>
      </c>
      <c r="D5" s="71">
        <v>16.100000000000001</v>
      </c>
      <c r="F5" s="75"/>
      <c r="G5" s="76" t="s">
        <v>31</v>
      </c>
      <c r="H5" s="77" t="s">
        <v>32</v>
      </c>
      <c r="I5" s="78" t="s">
        <v>33</v>
      </c>
      <c r="J5" s="79" t="s">
        <v>34</v>
      </c>
      <c r="K5" s="55"/>
      <c r="L5" s="80"/>
      <c r="M5" s="76" t="s">
        <v>31</v>
      </c>
      <c r="N5" s="77" t="s">
        <v>32</v>
      </c>
      <c r="O5" s="78" t="s">
        <v>33</v>
      </c>
      <c r="P5" s="79" t="s">
        <v>34</v>
      </c>
    </row>
    <row r="6" spans="1:16" ht="15.6">
      <c r="A6" s="68" t="s">
        <v>35</v>
      </c>
      <c r="B6" s="69"/>
      <c r="C6" s="74">
        <f t="shared" ref="C6:C7" si="0">48312.4881534739*(1+$C$37)</f>
        <v>49579.132358515446</v>
      </c>
      <c r="D6" s="71">
        <v>41.3</v>
      </c>
      <c r="F6" s="81" t="s">
        <v>29</v>
      </c>
      <c r="G6" s="82">
        <f>D7</f>
        <v>9</v>
      </c>
      <c r="H6" s="65">
        <f>C7</f>
        <v>49579.132358515446</v>
      </c>
      <c r="I6" s="83">
        <v>0.88888888888888884</v>
      </c>
      <c r="J6" s="84">
        <f>H6*I6</f>
        <v>44070.33987423595</v>
      </c>
      <c r="K6" s="85"/>
      <c r="L6" s="81" t="s">
        <v>29</v>
      </c>
      <c r="M6" s="82">
        <f>D7</f>
        <v>9</v>
      </c>
      <c r="N6" s="65">
        <f>C7</f>
        <v>49579.132358515446</v>
      </c>
      <c r="O6" s="83">
        <v>0.88888888888888884</v>
      </c>
      <c r="P6" s="84">
        <f>N6*O6</f>
        <v>44070.33987423595</v>
      </c>
    </row>
    <row r="7" spans="1:16" ht="15.6">
      <c r="A7" s="68" t="s">
        <v>36</v>
      </c>
      <c r="B7" s="69"/>
      <c r="C7" s="74">
        <f t="shared" si="0"/>
        <v>49579.132358515446</v>
      </c>
      <c r="D7" s="71">
        <v>9</v>
      </c>
      <c r="F7" s="86" t="s">
        <v>9</v>
      </c>
      <c r="G7" s="82">
        <f>D11</f>
        <v>1.3</v>
      </c>
      <c r="H7" s="65">
        <f>C11</f>
        <v>32198.400000000001</v>
      </c>
      <c r="I7" s="83">
        <v>5.9998485038252785</v>
      </c>
      <c r="J7" s="84">
        <f t="shared" ref="J7:J9" si="1">H7*I7</f>
        <v>193185.52206556784</v>
      </c>
      <c r="K7" s="85"/>
      <c r="L7" s="86" t="s">
        <v>37</v>
      </c>
      <c r="M7" s="82">
        <f>D11</f>
        <v>1.3</v>
      </c>
      <c r="N7" s="65">
        <f>C11</f>
        <v>32198.400000000001</v>
      </c>
      <c r="O7" s="83">
        <v>5.9998485038252785</v>
      </c>
      <c r="P7" s="84">
        <f t="shared" ref="P7:P9" si="2">N7*O7</f>
        <v>193185.52206556784</v>
      </c>
    </row>
    <row r="8" spans="1:16" ht="15.6">
      <c r="A8" s="68" t="s">
        <v>38</v>
      </c>
      <c r="B8" s="69"/>
      <c r="C8" s="74"/>
      <c r="D8" s="71"/>
      <c r="F8" s="87" t="s">
        <v>39</v>
      </c>
      <c r="G8" s="82"/>
      <c r="H8" s="65">
        <f>C12</f>
        <v>32198.400000000001</v>
      </c>
      <c r="I8" s="83">
        <f>SUM(I7+I9)*C46</f>
        <v>0.92059359247332861</v>
      </c>
      <c r="J8" s="84">
        <f t="shared" si="1"/>
        <v>29641.640727893224</v>
      </c>
      <c r="K8" s="85"/>
      <c r="L8" s="87" t="s">
        <v>39</v>
      </c>
      <c r="M8" s="82"/>
      <c r="N8" s="65">
        <f>C12</f>
        <v>32198.400000000001</v>
      </c>
      <c r="O8" s="83">
        <f>I8</f>
        <v>0.92059359247332861</v>
      </c>
      <c r="P8" s="84">
        <f t="shared" si="2"/>
        <v>29641.640727893224</v>
      </c>
    </row>
    <row r="9" spans="1:16" ht="15.6">
      <c r="A9" s="68" t="s">
        <v>30</v>
      </c>
      <c r="B9" s="69"/>
      <c r="C9" s="88">
        <v>32198.400000000001</v>
      </c>
      <c r="D9" s="71">
        <v>3.5</v>
      </c>
      <c r="F9" s="86" t="str">
        <f>A13</f>
        <v xml:space="preserve">Direct Care III  </v>
      </c>
      <c r="G9" s="82">
        <f>D15</f>
        <v>40</v>
      </c>
      <c r="H9" s="65">
        <f>C15</f>
        <v>41516.800000000003</v>
      </c>
      <c r="I9" s="83">
        <f>0.2+0.2</f>
        <v>0.4</v>
      </c>
      <c r="J9" s="84">
        <f t="shared" si="1"/>
        <v>16606.72</v>
      </c>
      <c r="K9" s="85"/>
      <c r="L9" s="86" t="str">
        <f>F9</f>
        <v xml:space="preserve">Direct Care III  </v>
      </c>
      <c r="M9" s="82">
        <f>D15</f>
        <v>40</v>
      </c>
      <c r="N9" s="65">
        <f>C15</f>
        <v>41516.800000000003</v>
      </c>
      <c r="O9" s="83">
        <f>0.2+0.2</f>
        <v>0.4</v>
      </c>
      <c r="P9" s="84">
        <f t="shared" si="2"/>
        <v>16606.72</v>
      </c>
    </row>
    <row r="10" spans="1:16" ht="15.6">
      <c r="A10" s="68" t="s">
        <v>35</v>
      </c>
      <c r="B10" s="69"/>
      <c r="C10" s="88">
        <v>32198.400000000001</v>
      </c>
      <c r="D10" s="71">
        <v>4.9000000000000004</v>
      </c>
      <c r="F10" s="89" t="s">
        <v>40</v>
      </c>
      <c r="G10" s="90"/>
      <c r="H10" s="91"/>
      <c r="I10" s="92">
        <f>SUM(I6:I9)</f>
        <v>8.2093309851874956</v>
      </c>
      <c r="J10" s="93">
        <f>SUM(J6:J9)</f>
        <v>283504.222667697</v>
      </c>
      <c r="K10" s="94"/>
      <c r="L10" s="89" t="s">
        <v>40</v>
      </c>
      <c r="M10" s="90"/>
      <c r="N10" s="91"/>
      <c r="O10" s="92">
        <f>SUM(O6:O9)</f>
        <v>8.2093309851874956</v>
      </c>
      <c r="P10" s="93">
        <f>SUM(P6:P9)</f>
        <v>283504.222667697</v>
      </c>
    </row>
    <row r="11" spans="1:16" ht="15.6">
      <c r="A11" s="68" t="s">
        <v>41</v>
      </c>
      <c r="B11" s="69"/>
      <c r="C11" s="88">
        <v>32198.400000000001</v>
      </c>
      <c r="D11" s="71">
        <v>1.3</v>
      </c>
      <c r="F11" s="95"/>
      <c r="G11" s="72"/>
      <c r="H11" s="65"/>
      <c r="I11" s="83"/>
      <c r="J11" s="84"/>
      <c r="K11" s="85"/>
      <c r="L11" s="95"/>
      <c r="M11" s="72"/>
      <c r="N11" s="65"/>
      <c r="O11" s="83"/>
      <c r="P11" s="84"/>
    </row>
    <row r="12" spans="1:16" ht="15.6">
      <c r="A12" s="68" t="s">
        <v>39</v>
      </c>
      <c r="B12" s="69"/>
      <c r="C12" s="88">
        <v>32198.400000000001</v>
      </c>
      <c r="D12" s="71"/>
      <c r="F12" s="96" t="s">
        <v>12</v>
      </c>
      <c r="G12" s="72"/>
      <c r="H12" s="97">
        <f>C20</f>
        <v>0.22309999999999999</v>
      </c>
      <c r="I12" s="66"/>
      <c r="J12" s="84">
        <f>H12*J10</f>
        <v>63249.792077163198</v>
      </c>
      <c r="K12" s="85"/>
      <c r="L12" s="96" t="s">
        <v>12</v>
      </c>
      <c r="M12" s="72"/>
      <c r="N12" s="97">
        <f>C20</f>
        <v>0.22309999999999999</v>
      </c>
      <c r="O12" s="66"/>
      <c r="P12" s="84">
        <f>N12*P10</f>
        <v>63249.792077163198</v>
      </c>
    </row>
    <row r="13" spans="1:16" ht="16.2" thickBot="1">
      <c r="A13" s="68" t="s">
        <v>42</v>
      </c>
      <c r="B13" s="69"/>
      <c r="C13" s="88"/>
      <c r="D13" s="71"/>
      <c r="F13" s="98" t="s">
        <v>43</v>
      </c>
      <c r="G13" s="99"/>
      <c r="H13" s="100"/>
      <c r="I13" s="101"/>
      <c r="J13" s="102">
        <f>SUM(J10:J12)</f>
        <v>346754.01474486018</v>
      </c>
      <c r="K13" s="85"/>
      <c r="L13" s="98" t="s">
        <v>43</v>
      </c>
      <c r="M13" s="99"/>
      <c r="N13" s="100"/>
      <c r="O13" s="101"/>
      <c r="P13" s="102">
        <f>SUM(P10:P12)</f>
        <v>346754.01474486018</v>
      </c>
    </row>
    <row r="14" spans="1:16" ht="15.6">
      <c r="A14" s="68" t="s">
        <v>44</v>
      </c>
      <c r="B14" s="69"/>
      <c r="C14" s="88">
        <v>41516.800000000003</v>
      </c>
      <c r="D14" s="71">
        <v>20</v>
      </c>
      <c r="F14" s="96"/>
      <c r="G14" s="72"/>
      <c r="H14" s="103"/>
      <c r="I14" s="83"/>
      <c r="J14" s="84"/>
      <c r="K14" s="85"/>
      <c r="L14" s="96"/>
      <c r="M14" s="72"/>
      <c r="N14" s="103"/>
      <c r="O14" s="83"/>
      <c r="P14" s="84"/>
    </row>
    <row r="15" spans="1:16" ht="15.6">
      <c r="A15" s="68" t="s">
        <v>41</v>
      </c>
      <c r="B15" s="69"/>
      <c r="C15" s="88">
        <v>41516.800000000003</v>
      </c>
      <c r="D15" s="71">
        <v>40</v>
      </c>
      <c r="F15" s="96" t="s">
        <v>45</v>
      </c>
      <c r="G15" s="72"/>
      <c r="H15" s="103"/>
      <c r="I15" s="66" t="s">
        <v>46</v>
      </c>
      <c r="J15" s="84"/>
      <c r="K15" s="85"/>
      <c r="L15" s="96" t="s">
        <v>45</v>
      </c>
      <c r="M15" s="72"/>
      <c r="N15" s="103"/>
      <c r="O15" s="66" t="s">
        <v>46</v>
      </c>
      <c r="P15" s="84"/>
    </row>
    <row r="16" spans="1:16" ht="15.6">
      <c r="A16" s="68" t="s">
        <v>47</v>
      </c>
      <c r="B16" s="69"/>
      <c r="C16" s="88">
        <v>41516.800000000003</v>
      </c>
      <c r="D16" s="71">
        <v>80</v>
      </c>
      <c r="F16" s="96" t="s">
        <v>48</v>
      </c>
      <c r="G16" s="72"/>
      <c r="H16" s="103"/>
      <c r="I16" s="66"/>
      <c r="J16" s="84">
        <v>1200</v>
      </c>
      <c r="K16" s="85"/>
      <c r="L16" s="96" t="s">
        <v>48</v>
      </c>
      <c r="M16" s="72"/>
      <c r="N16" s="103"/>
      <c r="O16" s="66"/>
      <c r="P16" s="84">
        <v>1200</v>
      </c>
    </row>
    <row r="17" spans="1:17" ht="15.6">
      <c r="A17" s="68" t="s">
        <v>49</v>
      </c>
      <c r="B17" s="69"/>
      <c r="C17" s="88"/>
      <c r="D17" s="71"/>
      <c r="F17" s="96" t="s">
        <v>50</v>
      </c>
      <c r="G17" s="72"/>
      <c r="H17" s="103"/>
      <c r="I17" s="104">
        <f>C23</f>
        <v>18.051305786397574</v>
      </c>
      <c r="J17" s="84">
        <f>J3*I17</f>
        <v>52709.812896280913</v>
      </c>
      <c r="K17" s="85"/>
      <c r="L17" s="96" t="s">
        <v>50</v>
      </c>
      <c r="M17" s="72"/>
      <c r="N17" s="103"/>
      <c r="O17" s="104">
        <f>C22</f>
        <v>5.4696591214482222</v>
      </c>
      <c r="P17" s="84">
        <f>P3*O17</f>
        <v>15971.404634628809</v>
      </c>
    </row>
    <row r="18" spans="1:17" ht="15.6">
      <c r="A18" s="68" t="s">
        <v>51</v>
      </c>
      <c r="B18" s="69"/>
      <c r="C18" s="88">
        <v>60923.199999999997</v>
      </c>
      <c r="D18" s="71"/>
      <c r="F18" s="96" t="s">
        <v>52</v>
      </c>
      <c r="G18" s="72"/>
      <c r="H18" s="103"/>
      <c r="I18" s="104">
        <f>C28</f>
        <v>10.200604325699743</v>
      </c>
      <c r="J18" s="84">
        <f>J3*I18</f>
        <v>29785.76463104325</v>
      </c>
      <c r="K18" s="85"/>
      <c r="L18" s="96" t="s">
        <v>52</v>
      </c>
      <c r="M18" s="72"/>
      <c r="N18" s="103"/>
      <c r="O18" s="104">
        <f>C28</f>
        <v>10.200604325699743</v>
      </c>
      <c r="P18" s="84">
        <f>P3*O18</f>
        <v>29785.76463104325</v>
      </c>
    </row>
    <row r="19" spans="1:17" ht="15.6">
      <c r="A19" s="68" t="s">
        <v>45</v>
      </c>
      <c r="B19" s="69"/>
      <c r="C19" s="88"/>
      <c r="D19" s="71"/>
      <c r="F19" s="96" t="s">
        <v>53</v>
      </c>
      <c r="G19" s="72"/>
      <c r="H19" s="103"/>
      <c r="I19" s="104">
        <f>C32</f>
        <v>3.678990594329334</v>
      </c>
      <c r="J19" s="84">
        <f>J3*I19</f>
        <v>10742.652535441655</v>
      </c>
      <c r="K19" s="85"/>
      <c r="L19" s="96" t="s">
        <v>53</v>
      </c>
      <c r="M19" s="72"/>
      <c r="N19" s="103"/>
      <c r="O19" s="104">
        <f>C32</f>
        <v>3.678990594329334</v>
      </c>
      <c r="P19" s="84">
        <f>P3*O19</f>
        <v>10742.652535441655</v>
      </c>
    </row>
    <row r="20" spans="1:17" ht="15.6">
      <c r="A20" s="68" t="s">
        <v>12</v>
      </c>
      <c r="B20" s="69"/>
      <c r="C20" s="105">
        <v>0.22309999999999999</v>
      </c>
      <c r="D20" s="71"/>
      <c r="F20" s="96" t="str">
        <f>A31</f>
        <v>Staff Training (per DC FTE)</v>
      </c>
      <c r="G20" s="72"/>
      <c r="H20" s="103"/>
      <c r="I20" s="104">
        <f>C31</f>
        <v>205.24354780079966</v>
      </c>
      <c r="J20" s="84">
        <f>I20*SUM(I7:I9)</f>
        <v>1502.4735073146492</v>
      </c>
      <c r="K20" s="85"/>
      <c r="L20" s="96" t="str">
        <f>A31</f>
        <v>Staff Training (per DC FTE)</v>
      </c>
      <c r="M20" s="72"/>
      <c r="N20" s="103"/>
      <c r="O20" s="104">
        <f>C31</f>
        <v>205.24354780079966</v>
      </c>
      <c r="P20" s="84">
        <f>O20*SUM(O7:O9)</f>
        <v>1502.4735073146492</v>
      </c>
    </row>
    <row r="21" spans="1:17" ht="15.6">
      <c r="A21" s="68" t="s">
        <v>50</v>
      </c>
      <c r="B21" s="69"/>
      <c r="C21" s="70"/>
      <c r="D21" s="71"/>
      <c r="F21" s="96" t="str">
        <f>A36</f>
        <v>PFMLA</v>
      </c>
      <c r="G21" s="106"/>
      <c r="H21" s="107">
        <f>C36</f>
        <v>3.7000000000000002E-3</v>
      </c>
      <c r="I21" s="106"/>
      <c r="J21" s="84">
        <f>H21*J10</f>
        <v>1048.965623870479</v>
      </c>
      <c r="K21" s="85"/>
      <c r="L21" s="108" t="str">
        <f>A36</f>
        <v>PFMLA</v>
      </c>
      <c r="M21" s="106"/>
      <c r="N21" s="109">
        <f>C36</f>
        <v>3.7000000000000002E-3</v>
      </c>
      <c r="O21" s="106"/>
      <c r="P21" s="84">
        <f>N21*P10</f>
        <v>1048.965623870479</v>
      </c>
    </row>
    <row r="22" spans="1:17" ht="15.6">
      <c r="A22" s="68" t="s">
        <v>54</v>
      </c>
      <c r="B22" s="69"/>
      <c r="C22" s="110">
        <f>5.32992065285953*(1+C37)</f>
        <v>5.4696591214482222</v>
      </c>
      <c r="D22" s="71"/>
      <c r="F22" s="96"/>
      <c r="G22" s="72"/>
      <c r="H22" s="103"/>
      <c r="I22" s="83"/>
      <c r="J22" s="111">
        <f>SUM(J16:J21)</f>
        <v>96989.669193950933</v>
      </c>
      <c r="K22" s="85"/>
      <c r="L22" s="96"/>
      <c r="M22" s="72"/>
      <c r="N22" s="103"/>
      <c r="O22" s="83"/>
      <c r="P22" s="111">
        <f>SUM(P16:P21)</f>
        <v>60251.260932298836</v>
      </c>
    </row>
    <row r="23" spans="1:17" ht="15.6">
      <c r="A23" s="68" t="s">
        <v>36</v>
      </c>
      <c r="B23" s="69"/>
      <c r="C23" s="110">
        <f>17.5901322889988*(1+C37)</f>
        <v>18.051305786397574</v>
      </c>
      <c r="D23" s="112"/>
      <c r="F23" s="96"/>
      <c r="G23" s="72"/>
      <c r="H23" s="103"/>
      <c r="I23" s="113"/>
      <c r="J23" s="84"/>
      <c r="K23" s="85"/>
      <c r="L23" s="96"/>
      <c r="M23" s="72"/>
      <c r="N23" s="103"/>
      <c r="O23" s="113"/>
      <c r="P23" s="84"/>
    </row>
    <row r="24" spans="1:17" ht="15.6">
      <c r="A24" s="68" t="s">
        <v>52</v>
      </c>
      <c r="B24" s="69"/>
      <c r="C24" s="110"/>
      <c r="D24" s="112"/>
      <c r="F24" s="89" t="s">
        <v>55</v>
      </c>
      <c r="G24" s="90"/>
      <c r="H24" s="114"/>
      <c r="I24" s="92"/>
      <c r="J24" s="93">
        <f>J13+J22</f>
        <v>443743.68393881113</v>
      </c>
      <c r="K24" s="85"/>
      <c r="L24" s="89" t="s">
        <v>55</v>
      </c>
      <c r="M24" s="90"/>
      <c r="N24" s="114"/>
      <c r="O24" s="92"/>
      <c r="P24" s="93">
        <f>P13+P22</f>
        <v>407005.27567715902</v>
      </c>
    </row>
    <row r="25" spans="1:17" ht="15.6">
      <c r="A25" s="68" t="s">
        <v>47</v>
      </c>
      <c r="B25" s="69"/>
      <c r="C25" s="115">
        <f>6.962*(1+$C$37)</f>
        <v>7.1445278989458361</v>
      </c>
      <c r="D25" s="112"/>
      <c r="F25" s="96"/>
      <c r="G25" s="72"/>
      <c r="H25" s="103"/>
      <c r="I25" s="83"/>
      <c r="J25" s="84"/>
      <c r="K25" s="85"/>
      <c r="L25" s="96"/>
      <c r="M25" s="72"/>
      <c r="N25" s="103"/>
      <c r="O25" s="83"/>
      <c r="P25" s="84"/>
    </row>
    <row r="26" spans="1:17" ht="15.6">
      <c r="A26" s="68" t="s">
        <v>56</v>
      </c>
      <c r="B26" s="69"/>
      <c r="C26" s="115">
        <f>6.25*(1+$C$37)</f>
        <v>6.4138608687749894</v>
      </c>
      <c r="D26" s="112"/>
      <c r="F26" s="96" t="s">
        <v>57</v>
      </c>
      <c r="G26" s="72"/>
      <c r="H26" s="97">
        <f>C33</f>
        <v>0.1237</v>
      </c>
      <c r="I26" s="116"/>
      <c r="J26" s="117">
        <f>H26*J24</f>
        <v>54891.093703230938</v>
      </c>
      <c r="K26" s="85"/>
      <c r="L26" s="96" t="s">
        <v>57</v>
      </c>
      <c r="M26" s="72"/>
      <c r="N26" s="97">
        <f>C33</f>
        <v>0.1237</v>
      </c>
      <c r="O26" s="116"/>
      <c r="P26" s="84">
        <f>P24*N26</f>
        <v>50346.552601264571</v>
      </c>
    </row>
    <row r="27" spans="1:17" ht="15.6">
      <c r="A27" s="68" t="s">
        <v>58</v>
      </c>
      <c r="B27" s="69"/>
      <c r="C27" s="115">
        <f>5.34*(1+$C$37)</f>
        <v>5.4800027262813513</v>
      </c>
      <c r="D27" s="112"/>
      <c r="F27" s="118" t="s">
        <v>59</v>
      </c>
      <c r="G27" s="119"/>
      <c r="H27" s="120"/>
      <c r="I27" s="83"/>
      <c r="J27" s="111">
        <f>SUM(J24:J26)</f>
        <v>498634.77764204209</v>
      </c>
      <c r="K27" s="121"/>
      <c r="L27" s="118" t="s">
        <v>59</v>
      </c>
      <c r="M27" s="119"/>
      <c r="N27" s="120"/>
      <c r="O27" s="83"/>
      <c r="P27" s="122">
        <f>SUM(P24:P26)</f>
        <v>457351.82827842358</v>
      </c>
    </row>
    <row r="28" spans="1:17" ht="16.2" thickBot="1">
      <c r="A28" s="68" t="s">
        <v>60</v>
      </c>
      <c r="B28" s="69"/>
      <c r="C28" s="115">
        <f>9.94*(1+$C$37)</f>
        <v>10.200604325699743</v>
      </c>
      <c r="D28" s="112"/>
      <c r="F28" s="123" t="str">
        <f>A38</f>
        <v>CAF Base FY20 Q4 - Prospective 7/1/20-6/30/22</v>
      </c>
      <c r="G28" s="124"/>
      <c r="H28" s="125">
        <f>C38</f>
        <v>1.7780248869661817E-2</v>
      </c>
      <c r="I28" s="83"/>
      <c r="J28" s="126">
        <f>(J12+J22+J26)*H28</f>
        <v>3825.0748069123179</v>
      </c>
      <c r="K28" s="121"/>
      <c r="L28" s="123" t="str">
        <f>A38</f>
        <v>CAF Base FY20 Q4 - Prospective 7/1/20-6/30/22</v>
      </c>
      <c r="M28" s="124"/>
      <c r="N28" s="125">
        <f>C38</f>
        <v>1.7780248869661817E-2</v>
      </c>
      <c r="O28" s="83"/>
      <c r="P28" s="126">
        <f>(P12+P22+P26)*N28</f>
        <v>3091.0536931535348</v>
      </c>
      <c r="Q28" s="85"/>
    </row>
    <row r="29" spans="1:17" ht="16.8" thickTop="1" thickBot="1">
      <c r="A29" s="68" t="s">
        <v>44</v>
      </c>
      <c r="B29" s="69"/>
      <c r="C29" s="115"/>
      <c r="D29" s="112"/>
      <c r="F29" s="108"/>
      <c r="G29" s="106"/>
      <c r="H29" s="106"/>
      <c r="I29" s="83"/>
      <c r="J29" s="127">
        <f>SUM(J27:J28)</f>
        <v>502459.85244895442</v>
      </c>
      <c r="K29" s="121"/>
      <c r="L29" s="108"/>
      <c r="M29" s="106"/>
      <c r="N29" s="106"/>
      <c r="O29" s="83"/>
      <c r="P29" s="127">
        <f>SUM(P27:P28)</f>
        <v>460442.88197157712</v>
      </c>
      <c r="Q29" s="85"/>
    </row>
    <row r="30" spans="1:17" ht="16.8" thickTop="1" thickBot="1">
      <c r="A30" s="68" t="s">
        <v>61</v>
      </c>
      <c r="B30" s="69"/>
      <c r="C30" s="115">
        <f>9.656*(1+$C$37)</f>
        <v>9.9091584878226087</v>
      </c>
      <c r="D30" s="112"/>
      <c r="F30" s="128"/>
      <c r="G30" s="129"/>
      <c r="H30" s="130"/>
      <c r="I30" s="131"/>
      <c r="J30" s="132">
        <f>J29/J3</f>
        <v>172.07529193457344</v>
      </c>
      <c r="K30" s="121"/>
      <c r="L30" s="133"/>
      <c r="M30" s="129"/>
      <c r="N30" s="130"/>
      <c r="O30" s="131"/>
      <c r="P30" s="132">
        <f>P29/P3</f>
        <v>157.68591848341683</v>
      </c>
      <c r="Q30" s="55"/>
    </row>
    <row r="31" spans="1:17" ht="16.2" thickBot="1">
      <c r="A31" s="68" t="s">
        <v>62</v>
      </c>
      <c r="B31" s="69"/>
      <c r="C31" s="115">
        <f>200*(1+$C$37)</f>
        <v>205.24354780079966</v>
      </c>
      <c r="D31" s="112"/>
      <c r="F31" s="134" t="s">
        <v>63</v>
      </c>
      <c r="G31" s="135"/>
      <c r="H31" s="136">
        <f>C35</f>
        <v>0.98</v>
      </c>
      <c r="I31" s="135"/>
      <c r="J31" s="137">
        <f>J30/H31</f>
        <v>175.58703258629944</v>
      </c>
      <c r="K31" s="138"/>
      <c r="L31" s="134" t="s">
        <v>63</v>
      </c>
      <c r="M31" s="135"/>
      <c r="N31" s="136">
        <f>C35</f>
        <v>0.98</v>
      </c>
      <c r="O31" s="139"/>
      <c r="P31" s="137">
        <f>P30/N31</f>
        <v>160.90399845246614</v>
      </c>
      <c r="Q31" s="55"/>
    </row>
    <row r="32" spans="1:17" ht="15.6">
      <c r="A32" s="68" t="s">
        <v>53</v>
      </c>
      <c r="B32" s="69"/>
      <c r="C32" s="110">
        <f>3.585*(1+$C$37)</f>
        <v>3.678990594329334</v>
      </c>
      <c r="D32" s="112"/>
      <c r="I32" s="140"/>
      <c r="J32" s="55"/>
      <c r="K32" s="141"/>
      <c r="O32" s="140"/>
      <c r="P32" s="55"/>
      <c r="Q32" s="55"/>
    </row>
    <row r="33" spans="1:23" ht="15.6">
      <c r="A33" s="68" t="s">
        <v>57</v>
      </c>
      <c r="B33" s="69"/>
      <c r="C33" s="142">
        <v>0.1237</v>
      </c>
      <c r="D33" s="112"/>
      <c r="G33" s="140"/>
      <c r="H33" s="140"/>
      <c r="I33" s="140"/>
      <c r="J33" s="143"/>
      <c r="K33" s="144"/>
      <c r="L33" s="55"/>
      <c r="M33" s="140"/>
      <c r="N33" s="140"/>
      <c r="O33" s="140"/>
      <c r="P33" s="143"/>
      <c r="Q33" s="55"/>
    </row>
    <row r="34" spans="1:23" ht="15.6">
      <c r="A34" s="68" t="s">
        <v>64</v>
      </c>
      <c r="B34" s="69"/>
      <c r="C34" s="142"/>
      <c r="D34" s="112"/>
      <c r="G34" s="140"/>
      <c r="H34" s="140"/>
      <c r="I34" s="140"/>
      <c r="J34" s="145"/>
      <c r="K34" s="146"/>
      <c r="L34" s="55"/>
      <c r="M34" s="140"/>
      <c r="N34" s="140"/>
      <c r="O34" s="140"/>
      <c r="P34" s="145"/>
      <c r="Q34" s="55"/>
      <c r="R34" s="55"/>
      <c r="S34" s="55"/>
      <c r="T34" s="55"/>
      <c r="U34" s="55"/>
      <c r="V34" s="55"/>
      <c r="W34" s="55"/>
    </row>
    <row r="35" spans="1:23" ht="15.6">
      <c r="A35" s="147" t="s">
        <v>65</v>
      </c>
      <c r="B35" s="148"/>
      <c r="C35" s="149">
        <v>0.98</v>
      </c>
      <c r="D35" s="112"/>
      <c r="G35" s="140"/>
      <c r="H35" s="140"/>
      <c r="K35" s="144"/>
      <c r="L35" s="55"/>
      <c r="M35" s="140"/>
      <c r="N35" s="140"/>
      <c r="Q35" s="55"/>
      <c r="R35" s="55"/>
      <c r="S35" s="55"/>
      <c r="T35" s="55"/>
      <c r="U35" s="55"/>
      <c r="V35" s="55"/>
      <c r="W35" s="55"/>
    </row>
    <row r="36" spans="1:23" ht="15.6">
      <c r="A36" s="147" t="s">
        <v>66</v>
      </c>
      <c r="B36" s="148"/>
      <c r="C36" s="142">
        <v>3.7000000000000002E-3</v>
      </c>
      <c r="D36" s="112"/>
      <c r="G36" s="140"/>
      <c r="H36" s="140"/>
      <c r="I36" s="140"/>
      <c r="J36" s="55"/>
      <c r="K36" s="144"/>
      <c r="L36" s="55"/>
      <c r="M36" s="140"/>
      <c r="N36" s="140"/>
      <c r="O36" s="140"/>
      <c r="P36" s="55"/>
      <c r="Q36" s="55"/>
      <c r="R36" s="55"/>
      <c r="S36" s="55"/>
      <c r="T36" s="55"/>
      <c r="U36" s="55"/>
      <c r="V36" s="55"/>
      <c r="W36" s="55"/>
    </row>
    <row r="37" spans="1:23" ht="15.6" hidden="1">
      <c r="A37" s="150" t="s">
        <v>67</v>
      </c>
      <c r="B37" s="151"/>
      <c r="C37" s="142">
        <f>[2]FY19CAF!BK27</f>
        <v>2.6217739003998465E-2</v>
      </c>
      <c r="D37" s="112"/>
      <c r="G37" s="140"/>
      <c r="H37" s="140"/>
      <c r="I37" s="140"/>
      <c r="J37" s="55"/>
      <c r="K37" s="144"/>
      <c r="M37" s="140"/>
      <c r="N37" s="140"/>
      <c r="O37" s="140"/>
      <c r="P37" s="55"/>
      <c r="Q37" s="55"/>
      <c r="R37" s="55"/>
      <c r="S37" s="55"/>
      <c r="T37" s="55"/>
      <c r="U37" s="55"/>
      <c r="V37" s="55"/>
      <c r="W37" s="55"/>
    </row>
    <row r="38" spans="1:23" ht="18" customHeight="1" thickBot="1">
      <c r="A38" s="152" t="s">
        <v>68</v>
      </c>
      <c r="B38" s="153"/>
      <c r="C38" s="154">
        <f>'CAF 2019 Fall'!BZ25</f>
        <v>1.7780248869661817E-2</v>
      </c>
      <c r="D38" s="155"/>
      <c r="G38" s="140"/>
      <c r="H38" s="140"/>
      <c r="I38" s="140"/>
      <c r="J38" s="145"/>
      <c r="K38" s="144"/>
      <c r="L38" s="55"/>
      <c r="M38" s="140"/>
      <c r="N38" s="140"/>
      <c r="O38" s="140"/>
      <c r="P38" s="145"/>
      <c r="Q38" s="55"/>
      <c r="R38" s="55"/>
      <c r="S38" s="55"/>
      <c r="T38" s="55"/>
      <c r="U38" s="55"/>
      <c r="V38" s="55"/>
      <c r="W38" s="55"/>
    </row>
    <row r="39" spans="1:23" ht="15" thickBot="1">
      <c r="A39" s="156"/>
      <c r="B39" s="157"/>
      <c r="C39" s="157"/>
      <c r="D39" s="158"/>
      <c r="G39" s="140"/>
      <c r="H39" s="140"/>
      <c r="I39" s="140"/>
      <c r="J39" s="55"/>
      <c r="K39" s="144"/>
      <c r="L39" s="55"/>
      <c r="M39" s="140"/>
      <c r="N39" s="140"/>
      <c r="O39" s="140"/>
      <c r="P39" s="55"/>
      <c r="Q39" s="55"/>
      <c r="R39" s="55"/>
      <c r="S39" s="55"/>
      <c r="T39" s="55"/>
      <c r="U39" s="55"/>
      <c r="V39" s="55"/>
      <c r="W39" s="55"/>
    </row>
    <row r="40" spans="1:23" ht="15.6">
      <c r="A40" s="159" t="s">
        <v>69</v>
      </c>
      <c r="B40" s="160" t="s">
        <v>70</v>
      </c>
      <c r="C40" s="161" t="s">
        <v>71</v>
      </c>
      <c r="D40" s="158"/>
      <c r="G40" s="162"/>
      <c r="H40" s="140"/>
      <c r="I40" s="140"/>
      <c r="J40" s="55"/>
      <c r="K40" s="144"/>
      <c r="L40" s="55"/>
      <c r="M40" s="140"/>
      <c r="N40" s="140"/>
      <c r="O40" s="140"/>
      <c r="P40" s="55"/>
      <c r="Q40" s="55"/>
      <c r="R40" s="55"/>
      <c r="S40" s="55"/>
      <c r="T40" s="55"/>
      <c r="U40" s="55"/>
      <c r="V40" s="55"/>
      <c r="W40" s="55"/>
    </row>
    <row r="41" spans="1:23" ht="15.6">
      <c r="A41" s="163" t="s">
        <v>72</v>
      </c>
      <c r="B41" s="164">
        <v>15</v>
      </c>
      <c r="C41" s="71">
        <f>B41*8</f>
        <v>120</v>
      </c>
      <c r="D41" s="158"/>
      <c r="G41" s="140"/>
      <c r="H41" s="140"/>
      <c r="I41" s="140"/>
      <c r="J41" s="55"/>
      <c r="K41" s="144"/>
      <c r="L41" s="55"/>
      <c r="M41" s="140"/>
      <c r="N41" s="140"/>
      <c r="O41" s="140"/>
      <c r="P41" s="55"/>
      <c r="Q41" s="55"/>
      <c r="R41" s="55"/>
      <c r="S41" s="55"/>
      <c r="T41" s="55"/>
      <c r="U41" s="55"/>
      <c r="V41" s="55"/>
      <c r="W41" s="55"/>
    </row>
    <row r="42" spans="1:23" ht="15.6">
      <c r="A42" s="163" t="s">
        <v>73</v>
      </c>
      <c r="B42" s="164">
        <v>8</v>
      </c>
      <c r="C42" s="71">
        <f t="shared" ref="C42:C44" si="3">B42*8</f>
        <v>64</v>
      </c>
      <c r="D42" s="158"/>
      <c r="G42" s="140"/>
      <c r="H42" s="140"/>
      <c r="I42" s="140"/>
      <c r="J42" s="55"/>
      <c r="K42" s="144"/>
      <c r="L42" s="55"/>
      <c r="M42" s="140"/>
      <c r="N42" s="140"/>
      <c r="O42" s="140"/>
      <c r="P42" s="55"/>
      <c r="Q42" s="55"/>
      <c r="R42" s="55"/>
      <c r="S42" s="55"/>
      <c r="T42" s="55"/>
      <c r="U42" s="55"/>
      <c r="V42" s="55"/>
      <c r="W42" s="55"/>
    </row>
    <row r="43" spans="1:23" ht="15.6">
      <c r="A43" s="163" t="s">
        <v>74</v>
      </c>
      <c r="B43" s="164">
        <v>10</v>
      </c>
      <c r="C43" s="71">
        <f t="shared" si="3"/>
        <v>80</v>
      </c>
      <c r="D43" s="158"/>
      <c r="G43" s="140"/>
      <c r="H43" s="140"/>
      <c r="I43" s="140"/>
      <c r="J43" s="55"/>
      <c r="K43" s="144"/>
      <c r="L43" s="55"/>
      <c r="M43" s="140"/>
      <c r="N43" s="140"/>
      <c r="O43" s="140"/>
      <c r="P43" s="55"/>
      <c r="Q43" s="55"/>
      <c r="R43" s="55"/>
      <c r="S43" s="55"/>
      <c r="T43" s="55"/>
      <c r="U43" s="55"/>
      <c r="V43" s="55"/>
      <c r="W43" s="55"/>
    </row>
    <row r="44" spans="1:23" ht="15.6">
      <c r="A44" s="165" t="s">
        <v>75</v>
      </c>
      <c r="B44" s="166">
        <v>4.4000000000000004</v>
      </c>
      <c r="C44" s="167">
        <f t="shared" si="3"/>
        <v>35.200000000000003</v>
      </c>
      <c r="D44" s="158"/>
      <c r="G44" s="140"/>
      <c r="H44" s="140"/>
      <c r="I44" s="140"/>
      <c r="J44" s="55"/>
      <c r="K44" s="168"/>
      <c r="L44" s="55"/>
      <c r="M44" s="140"/>
      <c r="N44" s="140"/>
      <c r="O44" s="140"/>
      <c r="P44" s="55"/>
      <c r="Q44" s="55"/>
      <c r="R44" s="55"/>
      <c r="S44" s="55"/>
      <c r="T44" s="55"/>
      <c r="U44" s="55"/>
      <c r="V44" s="55"/>
      <c r="W44" s="55"/>
    </row>
    <row r="45" spans="1:23" ht="15.6">
      <c r="A45" s="163"/>
      <c r="B45" s="169" t="s">
        <v>76</v>
      </c>
      <c r="C45" s="71">
        <f>SUM(C41:C44)</f>
        <v>299.2</v>
      </c>
      <c r="D45" s="158"/>
      <c r="G45" s="140"/>
      <c r="H45" s="140"/>
      <c r="I45" s="140"/>
      <c r="J45" s="55"/>
      <c r="K45" s="144"/>
      <c r="L45" s="55"/>
      <c r="M45" s="140"/>
      <c r="N45" s="140"/>
      <c r="O45" s="140"/>
      <c r="P45" s="55"/>
      <c r="Q45" s="55"/>
      <c r="R45" s="55"/>
      <c r="S45" s="55"/>
      <c r="T45" s="55"/>
      <c r="U45" s="55"/>
      <c r="V45" s="55"/>
      <c r="W45" s="55"/>
    </row>
    <row r="46" spans="1:23" ht="16.2" thickBot="1">
      <c r="A46" s="170"/>
      <c r="B46" s="171" t="s">
        <v>77</v>
      </c>
      <c r="C46" s="172">
        <f>C45/(52*40)</f>
        <v>0.14384615384615385</v>
      </c>
      <c r="D46" s="173"/>
      <c r="G46" s="140"/>
      <c r="H46" s="140"/>
      <c r="I46" s="140"/>
      <c r="J46" s="55"/>
      <c r="K46" s="144"/>
      <c r="L46" s="55"/>
      <c r="M46" s="140"/>
      <c r="N46" s="140"/>
      <c r="O46" s="140"/>
      <c r="P46" s="55"/>
      <c r="Q46" s="55"/>
      <c r="R46" s="55"/>
      <c r="S46" s="55"/>
      <c r="T46" s="55"/>
      <c r="U46" s="55"/>
      <c r="V46" s="55"/>
      <c r="W46" s="55"/>
    </row>
    <row r="47" spans="1:23">
      <c r="G47" s="140"/>
      <c r="H47" s="140"/>
      <c r="I47" s="140"/>
      <c r="J47" s="55"/>
      <c r="K47" s="144"/>
      <c r="L47" s="55"/>
      <c r="M47" s="140"/>
      <c r="N47" s="140"/>
      <c r="O47" s="140"/>
      <c r="P47" s="55"/>
      <c r="Q47" s="55"/>
      <c r="R47" s="55"/>
      <c r="S47" s="55"/>
      <c r="T47" s="55"/>
      <c r="U47" s="55"/>
      <c r="V47" s="55"/>
      <c r="W47" s="55"/>
    </row>
    <row r="48" spans="1:23">
      <c r="G48" s="140"/>
      <c r="H48" s="140"/>
      <c r="I48" s="140"/>
      <c r="J48" s="55"/>
      <c r="K48" s="55"/>
      <c r="L48" s="55"/>
      <c r="M48" s="140"/>
      <c r="N48" s="140"/>
      <c r="O48" s="140"/>
      <c r="P48" s="55"/>
      <c r="Q48" s="55"/>
      <c r="R48" s="55"/>
      <c r="S48" s="55"/>
      <c r="T48" s="55"/>
      <c r="U48" s="55"/>
      <c r="V48" s="55"/>
      <c r="W48" s="55"/>
    </row>
    <row r="49" spans="7:23">
      <c r="G49" s="140"/>
      <c r="H49" s="140"/>
      <c r="I49" s="140"/>
      <c r="J49" s="55"/>
      <c r="K49" s="55"/>
      <c r="L49" s="55"/>
      <c r="M49" s="140"/>
      <c r="N49" s="140"/>
      <c r="O49" s="140"/>
      <c r="P49" s="55"/>
      <c r="Q49" s="55"/>
      <c r="R49" s="55"/>
      <c r="S49" s="55"/>
      <c r="T49" s="55"/>
      <c r="U49" s="55"/>
      <c r="V49" s="55"/>
      <c r="W49" s="55"/>
    </row>
    <row r="50" spans="7:23">
      <c r="G50" s="140"/>
      <c r="H50" s="140"/>
      <c r="I50" s="140"/>
      <c r="J50" s="55"/>
      <c r="K50" s="55"/>
      <c r="L50" s="55"/>
      <c r="M50" s="140"/>
      <c r="N50" s="140"/>
      <c r="O50" s="140"/>
      <c r="P50" s="55"/>
      <c r="Q50" s="55"/>
      <c r="R50" s="55"/>
      <c r="S50" s="55"/>
      <c r="T50" s="55"/>
      <c r="U50" s="55"/>
      <c r="V50" s="55"/>
      <c r="W50" s="55"/>
    </row>
    <row r="51" spans="7:23">
      <c r="G51" s="140"/>
      <c r="H51" s="140"/>
      <c r="I51" s="140"/>
      <c r="J51" s="55"/>
      <c r="K51" s="55"/>
      <c r="L51" s="55"/>
      <c r="M51" s="140"/>
      <c r="N51" s="140"/>
      <c r="O51" s="140"/>
      <c r="P51" s="55"/>
      <c r="R51" s="55"/>
      <c r="S51" s="55"/>
      <c r="T51" s="55"/>
      <c r="U51" s="55"/>
      <c r="V51" s="55"/>
      <c r="W51" s="55"/>
    </row>
    <row r="52" spans="7:23">
      <c r="G52" s="140"/>
      <c r="H52" s="140"/>
      <c r="I52" s="140"/>
      <c r="J52" s="55"/>
      <c r="K52" s="55"/>
      <c r="L52" s="55"/>
      <c r="M52" s="140"/>
      <c r="N52" s="140"/>
      <c r="O52" s="140"/>
      <c r="P52" s="55"/>
      <c r="R52" s="55"/>
      <c r="S52" s="55"/>
      <c r="T52" s="55"/>
      <c r="U52" s="55"/>
      <c r="V52" s="55"/>
      <c r="W52" s="55"/>
    </row>
    <row r="53" spans="7:23">
      <c r="G53" s="140"/>
      <c r="I53" s="140"/>
      <c r="J53" s="55"/>
      <c r="K53" s="55"/>
      <c r="L53" s="55"/>
      <c r="M53" s="140"/>
      <c r="N53" s="140"/>
      <c r="O53" s="140"/>
      <c r="P53" s="55"/>
      <c r="R53" s="55"/>
      <c r="S53" s="55"/>
      <c r="T53" s="55"/>
      <c r="U53" s="55"/>
      <c r="V53" s="55"/>
      <c r="W53" s="55"/>
    </row>
    <row r="54" spans="7:23">
      <c r="I54" s="140"/>
      <c r="J54" s="55"/>
      <c r="K54" s="55"/>
      <c r="L54" s="55"/>
      <c r="M54" s="140"/>
      <c r="N54" s="140"/>
      <c r="O54" s="140"/>
      <c r="P54" s="55"/>
      <c r="R54" s="55"/>
      <c r="S54" s="55"/>
      <c r="T54" s="55"/>
      <c r="U54" s="55"/>
      <c r="V54" s="55"/>
      <c r="W54" s="55"/>
    </row>
    <row r="55" spans="7:23">
      <c r="I55" s="140"/>
      <c r="J55" s="55"/>
      <c r="O55" s="140"/>
      <c r="P55" s="55"/>
      <c r="R55" s="55"/>
      <c r="S55" s="55"/>
      <c r="T55" s="55"/>
      <c r="U55" s="55"/>
      <c r="V55" s="55"/>
      <c r="W55" s="55"/>
    </row>
    <row r="56" spans="7:23">
      <c r="I56" s="140"/>
      <c r="J56" s="55"/>
      <c r="O56" s="140"/>
      <c r="P56" s="55"/>
      <c r="R56" s="55"/>
      <c r="S56" s="55"/>
      <c r="T56" s="55"/>
      <c r="U56" s="55"/>
      <c r="V56" s="55"/>
      <c r="W56" s="55"/>
    </row>
    <row r="57" spans="7:23">
      <c r="R57" s="55"/>
      <c r="S57" s="55"/>
      <c r="T57" s="55"/>
      <c r="U57" s="55"/>
      <c r="V57" s="55"/>
      <c r="W57" s="55"/>
    </row>
    <row r="58" spans="7:23">
      <c r="R58" s="55"/>
      <c r="S58" s="55"/>
      <c r="T58" s="55"/>
      <c r="U58" s="55"/>
      <c r="V58" s="55"/>
      <c r="W58" s="55"/>
    </row>
    <row r="59" spans="7:23">
      <c r="R59" s="55"/>
      <c r="S59" s="55"/>
      <c r="T59" s="55"/>
      <c r="U59" s="55"/>
      <c r="V59" s="55"/>
      <c r="W59" s="55"/>
    </row>
    <row r="60" spans="7:23">
      <c r="R60" s="55"/>
      <c r="S60" s="55"/>
      <c r="T60" s="55"/>
      <c r="U60" s="55"/>
      <c r="V60" s="55"/>
      <c r="W60" s="55"/>
    </row>
    <row r="61" spans="7:23">
      <c r="R61" s="55"/>
      <c r="S61" s="55"/>
      <c r="T61" s="55"/>
      <c r="U61" s="55"/>
      <c r="V61" s="55"/>
      <c r="W61" s="55"/>
    </row>
    <row r="62" spans="7:23">
      <c r="R62" s="55"/>
      <c r="S62" s="55"/>
      <c r="T62" s="55"/>
      <c r="U62" s="55"/>
      <c r="V62" s="55"/>
      <c r="W62" s="55"/>
    </row>
    <row r="63" spans="7:23">
      <c r="R63" s="55"/>
      <c r="S63" s="55"/>
      <c r="T63" s="55"/>
      <c r="U63" s="55"/>
      <c r="V63" s="55"/>
      <c r="W63" s="55"/>
    </row>
    <row r="64" spans="7:23">
      <c r="R64" s="55"/>
      <c r="S64" s="55"/>
      <c r="T64" s="55"/>
      <c r="U64" s="55"/>
      <c r="V64" s="55"/>
      <c r="W64" s="55"/>
    </row>
    <row r="65" spans="18:23">
      <c r="R65" s="55"/>
      <c r="S65" s="55"/>
      <c r="T65" s="55"/>
      <c r="U65" s="55"/>
      <c r="V65" s="55"/>
      <c r="W65" s="55"/>
    </row>
    <row r="66" spans="18:23" ht="18" customHeight="1">
      <c r="R66" s="55"/>
      <c r="S66" s="55"/>
      <c r="T66" s="55"/>
      <c r="U66" s="55"/>
      <c r="V66" s="55"/>
      <c r="W66" s="55"/>
    </row>
  </sheetData>
  <mergeCells count="5">
    <mergeCell ref="A2:D2"/>
    <mergeCell ref="F2:J2"/>
    <mergeCell ref="L2:P2"/>
    <mergeCell ref="A37:B37"/>
    <mergeCell ref="A38:B38"/>
  </mergeCells>
  <pageMargins left="0.7" right="0.7" top="0.75" bottom="0.75" header="0.3" footer="0.3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F16" sqref="F16"/>
    </sheetView>
  </sheetViews>
  <sheetFormatPr defaultRowHeight="14.4"/>
  <cols>
    <col min="1" max="1" width="36.6640625" customWidth="1"/>
    <col min="2" max="2" width="18.109375" customWidth="1"/>
    <col min="3" max="3" width="15.44140625" style="174" customWidth="1"/>
    <col min="4" max="4" width="11.6640625" style="174" customWidth="1"/>
    <col min="5" max="5" width="10" customWidth="1"/>
    <col min="6" max="6" width="25.77734375" customWidth="1"/>
    <col min="7" max="7" width="10.6640625" style="174" customWidth="1"/>
    <col min="8" max="8" width="12.5546875" style="174" customWidth="1"/>
    <col min="9" max="9" width="11.109375" style="174" customWidth="1"/>
    <col min="10" max="10" width="11.44140625" customWidth="1"/>
    <col min="11" max="11" width="2.88671875" customWidth="1"/>
    <col min="12" max="12" width="24.6640625" customWidth="1"/>
    <col min="13" max="13" width="11" style="174" customWidth="1"/>
    <col min="14" max="15" width="11.6640625" style="174" customWidth="1"/>
    <col min="16" max="16" width="12.109375" customWidth="1"/>
    <col min="17" max="17" width="4.109375" customWidth="1"/>
    <col min="18" max="18" width="27.33203125" customWidth="1"/>
    <col min="19" max="19" width="9.6640625" style="174" customWidth="1"/>
    <col min="20" max="21" width="11.6640625" style="174" customWidth="1"/>
    <col min="22" max="22" width="11.5546875" customWidth="1"/>
    <col min="23" max="23" width="12.6640625" customWidth="1"/>
    <col min="24" max="25" width="9.109375" customWidth="1"/>
  </cols>
  <sheetData>
    <row r="1" spans="1:22" ht="15" thickBot="1"/>
    <row r="2" spans="1:22" ht="18" thickBot="1">
      <c r="A2" s="175" t="s">
        <v>78</v>
      </c>
      <c r="B2" s="176"/>
      <c r="C2" s="176"/>
      <c r="D2" s="177"/>
      <c r="F2" s="178" t="s">
        <v>79</v>
      </c>
      <c r="G2" s="179"/>
      <c r="H2" s="179"/>
      <c r="I2" s="179"/>
      <c r="J2" s="180"/>
      <c r="K2" s="181"/>
      <c r="L2" s="178" t="s">
        <v>79</v>
      </c>
      <c r="M2" s="179"/>
      <c r="N2" s="179"/>
      <c r="O2" s="179"/>
      <c r="P2" s="180"/>
      <c r="Q2" s="181"/>
      <c r="R2" s="182" t="s">
        <v>80</v>
      </c>
      <c r="S2" s="183"/>
      <c r="T2" s="183"/>
      <c r="U2" s="183"/>
      <c r="V2" s="184"/>
    </row>
    <row r="3" spans="1:22" ht="18" thickBot="1">
      <c r="A3" s="185"/>
      <c r="B3" s="186"/>
      <c r="C3" s="187" t="s">
        <v>6</v>
      </c>
      <c r="D3" s="188" t="s">
        <v>25</v>
      </c>
      <c r="F3" s="189" t="s">
        <v>81</v>
      </c>
      <c r="G3" s="190"/>
      <c r="H3" s="190"/>
      <c r="I3" s="190"/>
      <c r="J3" s="191"/>
      <c r="K3" s="181"/>
      <c r="L3" s="192" t="s">
        <v>82</v>
      </c>
      <c r="M3" s="193"/>
      <c r="N3" s="193"/>
      <c r="O3" s="193"/>
      <c r="P3" s="194"/>
      <c r="Q3" s="181"/>
      <c r="R3" s="189" t="s">
        <v>83</v>
      </c>
      <c r="S3" s="190"/>
      <c r="T3" s="190"/>
      <c r="U3" s="190"/>
      <c r="V3" s="191"/>
    </row>
    <row r="4" spans="1:22" ht="15.6">
      <c r="A4" s="195" t="s">
        <v>29</v>
      </c>
      <c r="B4" s="196"/>
      <c r="C4" s="197"/>
      <c r="D4" s="198"/>
      <c r="F4" s="199" t="s">
        <v>26</v>
      </c>
      <c r="G4" s="200" t="s">
        <v>27</v>
      </c>
      <c r="H4" s="201" t="s">
        <v>28</v>
      </c>
      <c r="I4" s="202">
        <v>365</v>
      </c>
      <c r="J4" s="203">
        <v>2920</v>
      </c>
      <c r="K4" s="55"/>
      <c r="L4" s="199" t="s">
        <v>26</v>
      </c>
      <c r="M4" s="200" t="s">
        <v>27</v>
      </c>
      <c r="N4" s="201" t="s">
        <v>28</v>
      </c>
      <c r="O4" s="202">
        <v>365</v>
      </c>
      <c r="P4" s="203">
        <v>2920</v>
      </c>
      <c r="Q4" s="55"/>
      <c r="R4" s="199" t="s">
        <v>26</v>
      </c>
      <c r="S4" s="200" t="s">
        <v>27</v>
      </c>
      <c r="T4" s="201" t="s">
        <v>28</v>
      </c>
      <c r="U4" s="202">
        <v>365</v>
      </c>
      <c r="V4" s="203">
        <v>2920</v>
      </c>
    </row>
    <row r="5" spans="1:22" ht="15.6">
      <c r="A5" s="204" t="s">
        <v>30</v>
      </c>
      <c r="B5" s="196"/>
      <c r="C5" s="205">
        <f>'[2]FTS 4624-Emergency Shelters'!C5</f>
        <v>49579.132358515446</v>
      </c>
      <c r="D5" s="198">
        <v>16.100000000000001</v>
      </c>
      <c r="F5" s="199"/>
      <c r="G5" s="206">
        <v>8</v>
      </c>
      <c r="H5" s="201"/>
      <c r="I5" s="202"/>
      <c r="J5" s="203"/>
      <c r="K5" s="55"/>
      <c r="L5" s="199"/>
      <c r="M5" s="206">
        <v>8</v>
      </c>
      <c r="N5" s="201"/>
      <c r="O5" s="202"/>
      <c r="P5" s="203"/>
      <c r="Q5" s="55"/>
      <c r="R5" s="199"/>
      <c r="S5" s="206">
        <v>8</v>
      </c>
      <c r="T5" s="201"/>
      <c r="U5" s="202"/>
      <c r="V5" s="203"/>
    </row>
    <row r="6" spans="1:22" ht="30" customHeight="1">
      <c r="A6" s="204" t="s">
        <v>35</v>
      </c>
      <c r="B6" s="196"/>
      <c r="C6" s="205">
        <f>'[2]FTS 4624-Emergency Shelters'!C6</f>
        <v>49579.132358515446</v>
      </c>
      <c r="D6" s="198">
        <v>41.3</v>
      </c>
      <c r="F6" s="207"/>
      <c r="G6" s="208" t="s">
        <v>31</v>
      </c>
      <c r="H6" s="209" t="s">
        <v>6</v>
      </c>
      <c r="I6" s="210" t="s">
        <v>33</v>
      </c>
      <c r="J6" s="211" t="s">
        <v>34</v>
      </c>
      <c r="K6" s="212"/>
      <c r="L6" s="207"/>
      <c r="M6" s="208" t="s">
        <v>31</v>
      </c>
      <c r="N6" s="209" t="s">
        <v>6</v>
      </c>
      <c r="O6" s="210" t="s">
        <v>33</v>
      </c>
      <c r="P6" s="211" t="s">
        <v>34</v>
      </c>
      <c r="Q6" s="212"/>
      <c r="R6" s="207"/>
      <c r="S6" s="208" t="s">
        <v>31</v>
      </c>
      <c r="T6" s="209" t="s">
        <v>6</v>
      </c>
      <c r="U6" s="210" t="s">
        <v>33</v>
      </c>
      <c r="V6" s="211" t="s">
        <v>34</v>
      </c>
    </row>
    <row r="7" spans="1:22" ht="15.6">
      <c r="A7" s="204" t="s">
        <v>36</v>
      </c>
      <c r="B7" s="196"/>
      <c r="C7" s="205">
        <f>'[2]FTS 4624-Emergency Shelters'!C7</f>
        <v>49579.132358515446</v>
      </c>
      <c r="D7" s="198">
        <v>9</v>
      </c>
      <c r="F7" s="213" t="s">
        <v>29</v>
      </c>
      <c r="G7" s="214">
        <f>D5</f>
        <v>16.100000000000001</v>
      </c>
      <c r="H7" s="201">
        <f>C5</f>
        <v>49579.132358515446</v>
      </c>
      <c r="I7" s="215">
        <v>0.49771428571428566</v>
      </c>
      <c r="J7" s="216">
        <f>H7*I7</f>
        <v>24676.242448152541</v>
      </c>
      <c r="K7" s="55"/>
      <c r="L7" s="213" t="s">
        <v>29</v>
      </c>
      <c r="M7" s="214">
        <f>D5</f>
        <v>16.100000000000001</v>
      </c>
      <c r="N7" s="201">
        <f>C5</f>
        <v>49579.132358515446</v>
      </c>
      <c r="O7" s="215">
        <v>0.49771428571428566</v>
      </c>
      <c r="P7" s="216">
        <f>N7*O7</f>
        <v>24676.242448152541</v>
      </c>
      <c r="Q7" s="55"/>
      <c r="R7" s="213" t="s">
        <v>29</v>
      </c>
      <c r="S7" s="214">
        <f>D6</f>
        <v>41.3</v>
      </c>
      <c r="T7" s="201">
        <f>C6</f>
        <v>49579.132358515446</v>
      </c>
      <c r="U7" s="215">
        <v>0.19384390463337831</v>
      </c>
      <c r="V7" s="216">
        <f>T7*U7</f>
        <v>9610.6126047097077</v>
      </c>
    </row>
    <row r="8" spans="1:22" ht="15.6">
      <c r="A8" s="195" t="s">
        <v>38</v>
      </c>
      <c r="B8" s="196"/>
      <c r="C8" s="217"/>
      <c r="D8" s="198"/>
      <c r="F8" s="218" t="str">
        <f>A13</f>
        <v xml:space="preserve">Direct Care III  </v>
      </c>
      <c r="G8" s="214">
        <f>D9</f>
        <v>3.5</v>
      </c>
      <c r="H8" s="201">
        <f>C16</f>
        <v>41516.800000000003</v>
      </c>
      <c r="I8" s="215">
        <v>2.2599999999999998</v>
      </c>
      <c r="J8" s="216">
        <f t="shared" ref="J8:J9" si="0">H8*I8</f>
        <v>93827.967999999993</v>
      </c>
      <c r="K8" s="55"/>
      <c r="L8" s="218" t="str">
        <f>A13</f>
        <v xml:space="preserve">Direct Care III  </v>
      </c>
      <c r="M8" s="214">
        <f>D9</f>
        <v>3.5</v>
      </c>
      <c r="N8" s="201">
        <f>C16</f>
        <v>41516.800000000003</v>
      </c>
      <c r="O8" s="215">
        <v>2.2599999999999998</v>
      </c>
      <c r="P8" s="216">
        <f t="shared" ref="P8:P9" si="1">N8*O8</f>
        <v>93827.967999999993</v>
      </c>
      <c r="Q8" s="55"/>
      <c r="R8" s="218" t="str">
        <f>A13</f>
        <v xml:space="preserve">Direct Care III  </v>
      </c>
      <c r="S8" s="219">
        <f>D10</f>
        <v>4.9000000000000004</v>
      </c>
      <c r="T8" s="201">
        <f>C16</f>
        <v>41516.800000000003</v>
      </c>
      <c r="U8" s="215">
        <v>1.72</v>
      </c>
      <c r="V8" s="216">
        <f t="shared" ref="V8:V9" si="2">T8*U8</f>
        <v>71408.896000000008</v>
      </c>
    </row>
    <row r="9" spans="1:22" ht="15.6">
      <c r="A9" s="204" t="s">
        <v>30</v>
      </c>
      <c r="B9" s="196"/>
      <c r="C9" s="217">
        <f>'4624-Emergency Shelters'!C9</f>
        <v>32198.400000000001</v>
      </c>
      <c r="D9" s="198">
        <v>3.5</v>
      </c>
      <c r="F9" s="218" t="str">
        <f>A8</f>
        <v xml:space="preserve"> Direct Care</v>
      </c>
      <c r="G9" s="214">
        <f>D16</f>
        <v>80</v>
      </c>
      <c r="H9" s="201">
        <f>C9</f>
        <v>32198.400000000001</v>
      </c>
      <c r="I9" s="215">
        <v>0.2</v>
      </c>
      <c r="J9" s="216">
        <f t="shared" si="0"/>
        <v>6439.68</v>
      </c>
      <c r="K9" s="55"/>
      <c r="L9" s="218" t="str">
        <f>A8</f>
        <v xml:space="preserve"> Direct Care</v>
      </c>
      <c r="M9" s="214">
        <f>D16</f>
        <v>80</v>
      </c>
      <c r="N9" s="201">
        <f>C9</f>
        <v>32198.400000000001</v>
      </c>
      <c r="O9" s="215">
        <v>0.2</v>
      </c>
      <c r="P9" s="216">
        <f t="shared" si="1"/>
        <v>6439.68</v>
      </c>
      <c r="Q9" s="55"/>
      <c r="R9" s="218" t="str">
        <f>A8</f>
        <v xml:space="preserve"> Direct Care</v>
      </c>
      <c r="S9" s="219">
        <f>D16</f>
        <v>80</v>
      </c>
      <c r="T9" s="201">
        <f>C9</f>
        <v>32198.400000000001</v>
      </c>
      <c r="U9" s="215">
        <v>0.1</v>
      </c>
      <c r="V9" s="216">
        <f t="shared" si="2"/>
        <v>3219.84</v>
      </c>
    </row>
    <row r="10" spans="1:22" ht="15.6">
      <c r="A10" s="204" t="s">
        <v>35</v>
      </c>
      <c r="B10" s="196"/>
      <c r="C10" s="217">
        <f>'4624-Emergency Shelters'!C10</f>
        <v>32198.400000000001</v>
      </c>
      <c r="D10" s="198">
        <v>4.9000000000000004</v>
      </c>
      <c r="F10" s="220" t="s">
        <v>40</v>
      </c>
      <c r="G10" s="221"/>
      <c r="H10" s="222"/>
      <c r="I10" s="223">
        <f>SUM(I7:I9)</f>
        <v>2.9577142857142857</v>
      </c>
      <c r="J10" s="93">
        <f>SUM(J7:J9)</f>
        <v>124943.89044815252</v>
      </c>
      <c r="K10" s="55"/>
      <c r="L10" s="220" t="s">
        <v>40</v>
      </c>
      <c r="M10" s="221"/>
      <c r="N10" s="222"/>
      <c r="O10" s="223">
        <f>SUM(O7:O9)</f>
        <v>2.9577142857142857</v>
      </c>
      <c r="P10" s="93">
        <f>SUM(P7:P9)</f>
        <v>124943.89044815252</v>
      </c>
      <c r="Q10" s="55"/>
      <c r="R10" s="220" t="s">
        <v>40</v>
      </c>
      <c r="S10" s="221"/>
      <c r="T10" s="222"/>
      <c r="U10" s="223">
        <f>SUM(U7:U9)</f>
        <v>2.0138439046333785</v>
      </c>
      <c r="V10" s="93">
        <f>SUM(V7:V9)</f>
        <v>84239.34860470971</v>
      </c>
    </row>
    <row r="11" spans="1:22" ht="15.6">
      <c r="A11" s="204" t="s">
        <v>36</v>
      </c>
      <c r="B11" s="196"/>
      <c r="C11" s="217">
        <f>'4624-Emergency Shelters'!C11</f>
        <v>32198.400000000001</v>
      </c>
      <c r="D11" s="198">
        <v>1.3</v>
      </c>
      <c r="F11" s="224"/>
      <c r="G11" s="206"/>
      <c r="H11" s="201"/>
      <c r="I11" s="215"/>
      <c r="J11" s="216"/>
      <c r="K11" s="55"/>
      <c r="L11" s="224"/>
      <c r="M11" s="206"/>
      <c r="N11" s="201"/>
      <c r="O11" s="215"/>
      <c r="P11" s="216"/>
      <c r="Q11" s="55"/>
      <c r="R11" s="224"/>
      <c r="S11" s="206"/>
      <c r="T11" s="201"/>
      <c r="U11" s="215"/>
      <c r="V11" s="216"/>
    </row>
    <row r="12" spans="1:22" ht="15.6">
      <c r="A12" s="204" t="s">
        <v>39</v>
      </c>
      <c r="B12" s="196"/>
      <c r="C12" s="217">
        <f>'4624-Emergency Shelters'!C12</f>
        <v>32198.400000000001</v>
      </c>
      <c r="D12" s="198"/>
      <c r="F12" s="225" t="s">
        <v>12</v>
      </c>
      <c r="G12" s="206"/>
      <c r="H12" s="226">
        <f>C21</f>
        <v>0.22309999999999999</v>
      </c>
      <c r="I12" s="202"/>
      <c r="J12" s="84">
        <f>H12*J10</f>
        <v>27874.981958982826</v>
      </c>
      <c r="K12" s="55"/>
      <c r="L12" s="225" t="s">
        <v>12</v>
      </c>
      <c r="M12" s="206"/>
      <c r="N12" s="226">
        <f>C21</f>
        <v>0.22309999999999999</v>
      </c>
      <c r="O12" s="202"/>
      <c r="P12" s="84">
        <f>N12*P10</f>
        <v>27874.981958982826</v>
      </c>
      <c r="Q12" s="55"/>
      <c r="R12" s="225" t="s">
        <v>12</v>
      </c>
      <c r="S12" s="206"/>
      <c r="T12" s="226">
        <f>C21</f>
        <v>0.22309999999999999</v>
      </c>
      <c r="U12" s="202"/>
      <c r="V12" s="84">
        <f>T12*V10</f>
        <v>18793.798673710735</v>
      </c>
    </row>
    <row r="13" spans="1:22" ht="16.2" thickBot="1">
      <c r="A13" s="195" t="s">
        <v>42</v>
      </c>
      <c r="B13" s="227"/>
      <c r="C13" s="217"/>
      <c r="D13" s="198"/>
      <c r="F13" s="228" t="s">
        <v>43</v>
      </c>
      <c r="G13" s="229"/>
      <c r="H13" s="230"/>
      <c r="I13" s="231">
        <f>J13/J4</f>
        <v>52.335230276416219</v>
      </c>
      <c r="J13" s="102">
        <f>SUM(J10:J12)</f>
        <v>152818.87240713535</v>
      </c>
      <c r="K13" s="55"/>
      <c r="L13" s="228" t="s">
        <v>43</v>
      </c>
      <c r="M13" s="229"/>
      <c r="N13" s="230"/>
      <c r="O13" s="231">
        <f>P13/P4</f>
        <v>52.335230276416219</v>
      </c>
      <c r="P13" s="102">
        <f>SUM(P10:P12)</f>
        <v>152818.87240713535</v>
      </c>
      <c r="Q13" s="55"/>
      <c r="R13" s="228" t="s">
        <v>43</v>
      </c>
      <c r="S13" s="229"/>
      <c r="T13" s="230"/>
      <c r="U13" s="231">
        <f>V13/V4</f>
        <v>35.285324410417964</v>
      </c>
      <c r="V13" s="102">
        <f>SUM(V10:V12)</f>
        <v>103033.14727842045</v>
      </c>
    </row>
    <row r="14" spans="1:22" ht="15.6">
      <c r="A14" s="204" t="s">
        <v>44</v>
      </c>
      <c r="B14" s="196"/>
      <c r="C14" s="217"/>
      <c r="D14" s="198">
        <v>20</v>
      </c>
      <c r="F14" s="225"/>
      <c r="G14" s="206"/>
      <c r="H14" s="232"/>
      <c r="I14" s="215"/>
      <c r="J14" s="216"/>
      <c r="K14" s="55"/>
      <c r="L14" s="225"/>
      <c r="M14" s="206"/>
      <c r="N14" s="232"/>
      <c r="O14" s="215"/>
      <c r="P14" s="216"/>
      <c r="Q14" s="55"/>
      <c r="R14" s="225"/>
      <c r="S14" s="206"/>
      <c r="T14" s="232"/>
      <c r="U14" s="215"/>
      <c r="V14" s="216"/>
    </row>
    <row r="15" spans="1:22" ht="15.6">
      <c r="A15" s="204" t="s">
        <v>41</v>
      </c>
      <c r="B15" s="196"/>
      <c r="C15" s="217">
        <f>'4624-Emergency Shelters'!C15</f>
        <v>41516.800000000003</v>
      </c>
      <c r="D15" s="198">
        <v>40</v>
      </c>
      <c r="F15" s="225" t="s">
        <v>45</v>
      </c>
      <c r="G15" s="206"/>
      <c r="H15" s="201"/>
      <c r="I15" s="202" t="s">
        <v>46</v>
      </c>
      <c r="J15" s="216"/>
      <c r="K15" s="55"/>
      <c r="L15" s="225" t="s">
        <v>45</v>
      </c>
      <c r="M15" s="206"/>
      <c r="N15" s="201"/>
      <c r="O15" s="202" t="s">
        <v>46</v>
      </c>
      <c r="P15" s="216"/>
      <c r="Q15" s="55"/>
      <c r="R15" s="225" t="s">
        <v>45</v>
      </c>
      <c r="S15" s="206"/>
      <c r="T15" s="201"/>
      <c r="U15" s="202" t="s">
        <v>46</v>
      </c>
      <c r="V15" s="216"/>
    </row>
    <row r="16" spans="1:22" ht="15.6">
      <c r="A16" s="204" t="s">
        <v>47</v>
      </c>
      <c r="B16" s="196"/>
      <c r="C16" s="217">
        <f>'4624-Emergency Shelters'!C16</f>
        <v>41516.800000000003</v>
      </c>
      <c r="D16" s="198">
        <v>80</v>
      </c>
      <c r="F16" s="225" t="s">
        <v>48</v>
      </c>
      <c r="G16" s="206"/>
      <c r="H16" s="201"/>
      <c r="I16" s="202"/>
      <c r="J16" s="216">
        <f>1200</f>
        <v>1200</v>
      </c>
      <c r="K16" s="55"/>
      <c r="L16" s="225" t="s">
        <v>48</v>
      </c>
      <c r="M16" s="206"/>
      <c r="N16" s="201"/>
      <c r="O16" s="202"/>
      <c r="P16" s="216">
        <f>1200</f>
        <v>1200</v>
      </c>
      <c r="Q16" s="55"/>
      <c r="R16" s="225" t="s">
        <v>48</v>
      </c>
      <c r="S16" s="206"/>
      <c r="T16" s="201"/>
      <c r="U16" s="202"/>
      <c r="V16" s="216">
        <f>1200</f>
        <v>1200</v>
      </c>
    </row>
    <row r="17" spans="1:23" ht="15.6">
      <c r="A17" s="204"/>
      <c r="B17" s="196"/>
      <c r="C17" s="217"/>
      <c r="D17" s="198"/>
      <c r="F17" s="225" t="s">
        <v>50</v>
      </c>
      <c r="G17" s="206"/>
      <c r="H17" s="232"/>
      <c r="I17" s="233">
        <f>C24</f>
        <v>18.051305786397574</v>
      </c>
      <c r="J17" s="216">
        <f>J4*I17</f>
        <v>52709.812896280913</v>
      </c>
      <c r="K17" s="55"/>
      <c r="L17" s="225" t="s">
        <v>50</v>
      </c>
      <c r="M17" s="206"/>
      <c r="N17" s="232"/>
      <c r="O17" s="233">
        <f>C23</f>
        <v>5.4696591214482222</v>
      </c>
      <c r="P17" s="216">
        <f>P4*O17</f>
        <v>15971.404634628809</v>
      </c>
      <c r="Q17" s="55"/>
      <c r="R17" s="225" t="s">
        <v>50</v>
      </c>
      <c r="S17" s="206"/>
      <c r="T17" s="232"/>
      <c r="U17" s="233">
        <f>C23</f>
        <v>5.4696591214482222</v>
      </c>
      <c r="V17" s="216">
        <f>$V$4*U17</f>
        <v>15971.404634628809</v>
      </c>
    </row>
    <row r="18" spans="1:23" ht="15.6">
      <c r="A18" s="195" t="s">
        <v>49</v>
      </c>
      <c r="B18" s="196"/>
      <c r="C18" s="217"/>
      <c r="D18" s="198"/>
      <c r="F18" s="225" t="s">
        <v>52</v>
      </c>
      <c r="G18" s="206"/>
      <c r="H18" s="232"/>
      <c r="I18" s="233">
        <f>C26</f>
        <v>7.1445278989458361</v>
      </c>
      <c r="J18" s="216">
        <f>J4*I18</f>
        <v>20862.02146492184</v>
      </c>
      <c r="K18" s="55"/>
      <c r="L18" s="225" t="s">
        <v>52</v>
      </c>
      <c r="M18" s="206"/>
      <c r="N18" s="232"/>
      <c r="O18" s="233">
        <f>C27</f>
        <v>6.4138608687749894</v>
      </c>
      <c r="P18" s="216">
        <f>P4*O18</f>
        <v>18728.473736822969</v>
      </c>
      <c r="Q18" s="55"/>
      <c r="R18" s="225" t="s">
        <v>52</v>
      </c>
      <c r="S18" s="206"/>
      <c r="T18" s="232"/>
      <c r="U18" s="233">
        <f>C28</f>
        <v>5.4800027262813513</v>
      </c>
      <c r="V18" s="216">
        <f>$V$4*U18</f>
        <v>16001.607960741545</v>
      </c>
    </row>
    <row r="19" spans="1:23" ht="15.6">
      <c r="A19" s="204" t="s">
        <v>51</v>
      </c>
      <c r="B19" s="196"/>
      <c r="C19" s="217">
        <f>'4624-Emergency Shelters'!C18</f>
        <v>60923.199999999997</v>
      </c>
      <c r="D19" s="198"/>
      <c r="F19" s="225" t="s">
        <v>53</v>
      </c>
      <c r="G19" s="206"/>
      <c r="H19" s="232"/>
      <c r="I19" s="233">
        <f>C33</f>
        <v>3.678990594329334</v>
      </c>
      <c r="J19" s="216">
        <f>J4*I19</f>
        <v>10742.652535441655</v>
      </c>
      <c r="K19" s="55"/>
      <c r="L19" s="225" t="s">
        <v>53</v>
      </c>
      <c r="M19" s="206"/>
      <c r="N19" s="232"/>
      <c r="O19" s="233">
        <f>C33</f>
        <v>3.678990594329334</v>
      </c>
      <c r="P19" s="216">
        <f>P4*O19</f>
        <v>10742.652535441655</v>
      </c>
      <c r="Q19" s="55"/>
      <c r="R19" s="225" t="s">
        <v>53</v>
      </c>
      <c r="S19" s="206"/>
      <c r="T19" s="232"/>
      <c r="U19" s="233">
        <f>C33</f>
        <v>3.678990594329334</v>
      </c>
      <c r="V19" s="216">
        <f>$V$4*U19</f>
        <v>10742.652535441655</v>
      </c>
    </row>
    <row r="20" spans="1:23" ht="15.6">
      <c r="A20" s="195" t="s">
        <v>45</v>
      </c>
      <c r="B20" s="196"/>
      <c r="C20" s="197"/>
      <c r="D20" s="198"/>
      <c r="F20" s="225" t="str">
        <f>A32</f>
        <v>Staff Training (per DC FTE)</v>
      </c>
      <c r="G20" s="206"/>
      <c r="H20" s="232"/>
      <c r="I20" s="233">
        <f>C32</f>
        <v>205.24354780079966</v>
      </c>
      <c r="J20" s="216">
        <f>I20*SUM(I8:I9)</f>
        <v>504.89912758996718</v>
      </c>
      <c r="K20" s="55"/>
      <c r="L20" s="225" t="str">
        <f>A32</f>
        <v>Staff Training (per DC FTE)</v>
      </c>
      <c r="M20" s="206"/>
      <c r="N20" s="232"/>
      <c r="O20" s="233">
        <f>C32</f>
        <v>205.24354780079966</v>
      </c>
      <c r="P20" s="216">
        <f>O20*SUM(O8:O9)</f>
        <v>504.89912758996718</v>
      </c>
      <c r="Q20" s="55"/>
      <c r="R20" s="225" t="str">
        <f>A32</f>
        <v>Staff Training (per DC FTE)</v>
      </c>
      <c r="S20" s="206"/>
      <c r="T20" s="232"/>
      <c r="U20" s="233">
        <f>C32</f>
        <v>205.24354780079966</v>
      </c>
      <c r="V20" s="216">
        <f>U20*SUM(U8:U9)</f>
        <v>373.54325699745539</v>
      </c>
    </row>
    <row r="21" spans="1:23" ht="15.6">
      <c r="A21" s="204" t="s">
        <v>12</v>
      </c>
      <c r="B21" s="196"/>
      <c r="C21" s="234">
        <v>0.22309999999999999</v>
      </c>
      <c r="D21" s="198"/>
      <c r="F21" s="235" t="str">
        <f>A36</f>
        <v>PFMLA</v>
      </c>
      <c r="G21" s="236"/>
      <c r="H21" s="236"/>
      <c r="I21" s="237">
        <f>C36</f>
        <v>3.7000000000000002E-3</v>
      </c>
      <c r="J21" s="216">
        <f>I21*J10</f>
        <v>462.29239465816437</v>
      </c>
      <c r="K21" s="55"/>
      <c r="L21" s="235" t="str">
        <f>A36</f>
        <v>PFMLA</v>
      </c>
      <c r="M21" s="236"/>
      <c r="N21" s="236"/>
      <c r="O21" s="237">
        <f>C36</f>
        <v>3.7000000000000002E-3</v>
      </c>
      <c r="P21" s="216">
        <f>O21*P10</f>
        <v>462.29239465816437</v>
      </c>
      <c r="Q21" s="55"/>
      <c r="R21" s="235" t="str">
        <f>A36</f>
        <v>PFMLA</v>
      </c>
      <c r="S21" s="236"/>
      <c r="T21" s="236"/>
      <c r="U21" s="237">
        <f>C36</f>
        <v>3.7000000000000002E-3</v>
      </c>
      <c r="V21" s="216">
        <f>U21*V10</f>
        <v>311.68558983742594</v>
      </c>
    </row>
    <row r="22" spans="1:23" ht="15.6">
      <c r="A22" s="195" t="s">
        <v>50</v>
      </c>
      <c r="B22" s="196"/>
      <c r="C22" s="197"/>
      <c r="D22" s="238"/>
      <c r="F22" s="225"/>
      <c r="G22" s="206"/>
      <c r="H22" s="232"/>
      <c r="I22" s="215"/>
      <c r="J22" s="111">
        <f>SUM(J16:J21)</f>
        <v>86481.678418892523</v>
      </c>
      <c r="K22" s="55"/>
      <c r="L22" s="225"/>
      <c r="M22" s="206"/>
      <c r="N22" s="232"/>
      <c r="O22" s="215"/>
      <c r="P22" s="111">
        <f>SUM(P16:P21)</f>
        <v>47609.722429141562</v>
      </c>
      <c r="Q22" s="55"/>
      <c r="R22" s="225"/>
      <c r="S22" s="206"/>
      <c r="T22" s="232"/>
      <c r="U22" s="215"/>
      <c r="V22" s="111">
        <f>SUM(V16:V21)</f>
        <v>44600.893977646891</v>
      </c>
    </row>
    <row r="23" spans="1:23" ht="15.6">
      <c r="A23" s="204" t="s">
        <v>54</v>
      </c>
      <c r="B23" s="196"/>
      <c r="C23" s="239">
        <f>'[2]FTS 4624-Emergency Shelters'!C22</f>
        <v>5.4696591214482222</v>
      </c>
      <c r="D23" s="238"/>
      <c r="F23" s="225"/>
      <c r="G23" s="206"/>
      <c r="H23" s="232"/>
      <c r="I23" s="240"/>
      <c r="J23" s="216"/>
      <c r="K23" s="55"/>
      <c r="L23" s="225"/>
      <c r="M23" s="206"/>
      <c r="N23" s="232"/>
      <c r="O23" s="240"/>
      <c r="P23" s="216"/>
      <c r="Q23" s="55"/>
      <c r="R23" s="225"/>
      <c r="S23" s="206"/>
      <c r="T23" s="232"/>
      <c r="U23" s="240"/>
      <c r="V23" s="216"/>
    </row>
    <row r="24" spans="1:23" ht="16.2" thickBot="1">
      <c r="A24" s="204" t="s">
        <v>36</v>
      </c>
      <c r="B24" s="196"/>
      <c r="C24" s="239">
        <f>'[2]FTS 4624-Emergency Shelters'!C23</f>
        <v>18.051305786397574</v>
      </c>
      <c r="D24" s="238"/>
      <c r="F24" s="228" t="s">
        <v>55</v>
      </c>
      <c r="G24" s="229"/>
      <c r="H24" s="230"/>
      <c r="I24" s="231"/>
      <c r="J24" s="102">
        <f>J13+J22</f>
        <v>239300.55082602787</v>
      </c>
      <c r="K24" s="55"/>
      <c r="L24" s="228" t="s">
        <v>55</v>
      </c>
      <c r="M24" s="229"/>
      <c r="N24" s="230"/>
      <c r="O24" s="231"/>
      <c r="P24" s="102">
        <f>P13+P22</f>
        <v>200428.5948362769</v>
      </c>
      <c r="Q24" s="55"/>
      <c r="R24" s="228" t="s">
        <v>55</v>
      </c>
      <c r="S24" s="229"/>
      <c r="T24" s="230"/>
      <c r="U24" s="231"/>
      <c r="V24" s="102">
        <f>V13+V22</f>
        <v>147634.04125606734</v>
      </c>
    </row>
    <row r="25" spans="1:23" ht="15.6">
      <c r="A25" s="195" t="s">
        <v>52</v>
      </c>
      <c r="B25" s="196"/>
      <c r="C25" s="241"/>
      <c r="D25" s="238"/>
      <c r="F25" s="225"/>
      <c r="G25" s="206"/>
      <c r="H25" s="232"/>
      <c r="I25" s="215"/>
      <c r="J25" s="216"/>
      <c r="K25" s="55"/>
      <c r="L25" s="225"/>
      <c r="M25" s="206"/>
      <c r="N25" s="232"/>
      <c r="O25" s="215"/>
      <c r="P25" s="216"/>
      <c r="Q25" s="55"/>
      <c r="R25" s="225"/>
      <c r="S25" s="206"/>
      <c r="T25" s="232"/>
      <c r="U25" s="215"/>
      <c r="V25" s="216"/>
    </row>
    <row r="26" spans="1:23" ht="15.6">
      <c r="A26" s="204" t="s">
        <v>47</v>
      </c>
      <c r="B26" s="196"/>
      <c r="C26" s="239">
        <f>'[2]FTS 4624-Emergency Shelters'!C25</f>
        <v>7.1445278989458361</v>
      </c>
      <c r="D26" s="238"/>
      <c r="F26" s="225" t="s">
        <v>57</v>
      </c>
      <c r="G26" s="206"/>
      <c r="H26" s="226">
        <f>$C$34</f>
        <v>0.1237</v>
      </c>
      <c r="I26" s="215"/>
      <c r="J26" s="216">
        <f>J24*H26</f>
        <v>29601.478137179649</v>
      </c>
      <c r="K26" s="55"/>
      <c r="L26" s="225" t="s">
        <v>57</v>
      </c>
      <c r="M26" s="206"/>
      <c r="N26" s="226">
        <f>$C$34</f>
        <v>0.1237</v>
      </c>
      <c r="O26" s="215"/>
      <c r="P26" s="216">
        <f>P24*N26</f>
        <v>24793.017181247455</v>
      </c>
      <c r="Q26" s="55"/>
      <c r="R26" s="225" t="s">
        <v>57</v>
      </c>
      <c r="S26" s="206"/>
      <c r="T26" s="226">
        <f>$C$34</f>
        <v>0.1237</v>
      </c>
      <c r="U26" s="215"/>
      <c r="V26" s="216">
        <f>V24*T26</f>
        <v>18262.330903375532</v>
      </c>
    </row>
    <row r="27" spans="1:23" ht="16.2" thickBot="1">
      <c r="A27" s="204" t="s">
        <v>56</v>
      </c>
      <c r="B27" s="196"/>
      <c r="C27" s="239">
        <f>'[2]FTS 4624-Emergency Shelters'!C26</f>
        <v>6.4138608687749894</v>
      </c>
      <c r="D27" s="238"/>
      <c r="F27" s="242" t="s">
        <v>59</v>
      </c>
      <c r="G27" s="243"/>
      <c r="H27" s="244"/>
      <c r="I27" s="245"/>
      <c r="J27" s="246">
        <f>SUM(J24:J26)</f>
        <v>268902.0289632075</v>
      </c>
      <c r="K27" s="55"/>
      <c r="L27" s="228" t="s">
        <v>59</v>
      </c>
      <c r="M27" s="229"/>
      <c r="N27" s="247"/>
      <c r="O27" s="231"/>
      <c r="P27" s="102">
        <f>SUM(P24:P26)</f>
        <v>225221.61201752434</v>
      </c>
      <c r="Q27" s="55"/>
      <c r="R27" s="228" t="s">
        <v>59</v>
      </c>
      <c r="S27" s="229"/>
      <c r="T27" s="247"/>
      <c r="U27" s="231"/>
      <c r="V27" s="102">
        <f>SUM(V24:V26)</f>
        <v>165896.37215944286</v>
      </c>
    </row>
    <row r="28" spans="1:23" ht="15.6">
      <c r="A28" s="204" t="s">
        <v>58</v>
      </c>
      <c r="B28" s="196"/>
      <c r="C28" s="239">
        <f>'[2]FTS 4624-Emergency Shelters'!C27</f>
        <v>5.4800027262813513</v>
      </c>
      <c r="D28" s="238"/>
      <c r="F28" s="248" t="s">
        <v>18</v>
      </c>
      <c r="G28" s="249"/>
      <c r="H28" s="250">
        <f>C39</f>
        <v>1.78E-2</v>
      </c>
      <c r="I28" s="251"/>
      <c r="J28" s="252">
        <f>(J12+J22+J26)*H28</f>
        <v>2562.4548655679791</v>
      </c>
      <c r="K28" s="253"/>
      <c r="L28" s="254" t="s">
        <v>18</v>
      </c>
      <c r="M28" s="255"/>
      <c r="N28" s="256">
        <f>C39</f>
        <v>1.78E-2</v>
      </c>
      <c r="O28" s="257"/>
      <c r="P28" s="258">
        <f>(P12+P22+P26)*N28</f>
        <v>1784.9434439348188</v>
      </c>
      <c r="Q28" s="253"/>
      <c r="R28" s="254" t="s">
        <v>18</v>
      </c>
      <c r="S28" s="259"/>
      <c r="T28" s="260">
        <f>C39</f>
        <v>1.78E-2</v>
      </c>
      <c r="U28" s="261"/>
      <c r="V28" s="258">
        <f>(V12+V22+V26)*T28</f>
        <v>1453.4950192742501</v>
      </c>
      <c r="W28" s="262"/>
    </row>
    <row r="29" spans="1:23" ht="16.2" thickBot="1">
      <c r="A29" s="204" t="s">
        <v>60</v>
      </c>
      <c r="B29" s="196"/>
      <c r="C29" s="239">
        <f>'[2]FTS 4624-Emergency Shelters'!C28</f>
        <v>10.200604325699743</v>
      </c>
      <c r="D29" s="238"/>
      <c r="F29" s="254"/>
      <c r="G29" s="206"/>
      <c r="H29" s="263"/>
      <c r="I29" s="215"/>
      <c r="J29" s="264">
        <f>SUM(J27:J28)</f>
        <v>271464.48382877547</v>
      </c>
      <c r="K29" s="55"/>
      <c r="L29" s="265"/>
      <c r="M29" s="266"/>
      <c r="N29" s="267"/>
      <c r="O29" s="268"/>
      <c r="P29" s="264">
        <f>SUM(P27:P28)</f>
        <v>227006.55546145915</v>
      </c>
      <c r="Q29" s="55"/>
      <c r="R29" s="265"/>
      <c r="S29" s="269"/>
      <c r="T29" s="270"/>
      <c r="U29" s="271"/>
      <c r="V29" s="264">
        <f>SUM(V27:V28)</f>
        <v>167349.8671787171</v>
      </c>
      <c r="W29" s="272"/>
    </row>
    <row r="30" spans="1:23" ht="16.8" thickTop="1" thickBot="1">
      <c r="A30" s="204" t="s">
        <v>44</v>
      </c>
      <c r="B30" s="196"/>
      <c r="C30" s="273"/>
      <c r="D30" s="238"/>
      <c r="F30" s="274" t="s">
        <v>84</v>
      </c>
      <c r="G30" s="275"/>
      <c r="H30" s="276"/>
      <c r="I30" s="276"/>
      <c r="J30" s="277">
        <f>J29/J4</f>
        <v>92.967288982457347</v>
      </c>
      <c r="K30" s="55"/>
      <c r="L30" s="274" t="s">
        <v>84</v>
      </c>
      <c r="M30" s="275"/>
      <c r="N30" s="276"/>
      <c r="O30" s="276"/>
      <c r="P30" s="277">
        <f>P29/P4</f>
        <v>77.74197104844491</v>
      </c>
      <c r="Q30" s="55"/>
      <c r="R30" s="274" t="s">
        <v>84</v>
      </c>
      <c r="S30" s="278"/>
      <c r="T30" s="279"/>
      <c r="U30" s="278"/>
      <c r="V30" s="280">
        <f>V29/V4</f>
        <v>57.311598348875719</v>
      </c>
      <c r="W30" s="262"/>
    </row>
    <row r="31" spans="1:23" ht="15.6">
      <c r="A31" s="204" t="s">
        <v>61</v>
      </c>
      <c r="B31" s="196"/>
      <c r="C31" s="281">
        <f>'[2]FTS 4624-Emergency Shelters'!C30</f>
        <v>9.9091584878226087</v>
      </c>
      <c r="D31" s="238"/>
      <c r="F31" s="282"/>
      <c r="J31" s="283"/>
      <c r="P31" s="283"/>
      <c r="V31" s="283"/>
    </row>
    <row r="32" spans="1:23" ht="15.6">
      <c r="A32" s="195" t="s">
        <v>62</v>
      </c>
      <c r="B32" s="284"/>
      <c r="C32" s="281">
        <f>'[2]FTS 4624-Emergency Shelters'!C31</f>
        <v>205.24354780079966</v>
      </c>
      <c r="D32" s="285"/>
      <c r="F32" s="282"/>
      <c r="J32" s="283"/>
      <c r="P32" s="283"/>
      <c r="V32" s="283"/>
    </row>
    <row r="33" spans="1:22" ht="15.6">
      <c r="A33" s="195" t="s">
        <v>53</v>
      </c>
      <c r="B33" s="227"/>
      <c r="C33" s="281">
        <f>'[2]FTS 4624-Emergency Shelters'!C32</f>
        <v>3.678990594329334</v>
      </c>
      <c r="D33" s="238"/>
      <c r="F33" s="282"/>
      <c r="J33" s="286"/>
      <c r="P33" s="286"/>
      <c r="V33" s="286"/>
    </row>
    <row r="34" spans="1:22" ht="15.6">
      <c r="A34" s="195" t="s">
        <v>57</v>
      </c>
      <c r="B34" s="227"/>
      <c r="C34" s="287">
        <v>0.1237</v>
      </c>
      <c r="D34" s="71"/>
      <c r="F34" s="282"/>
    </row>
    <row r="35" spans="1:22" ht="15.6">
      <c r="A35" s="195" t="s">
        <v>64</v>
      </c>
      <c r="B35" s="227"/>
      <c r="C35" s="287"/>
      <c r="D35" s="71"/>
      <c r="F35" s="288"/>
      <c r="G35" s="289"/>
      <c r="H35" s="289"/>
      <c r="I35" s="289"/>
      <c r="J35" s="288"/>
      <c r="K35" s="288"/>
      <c r="L35" s="288"/>
      <c r="M35" s="289"/>
      <c r="N35" s="289"/>
      <c r="O35" s="289"/>
      <c r="P35" s="288"/>
      <c r="Q35" s="288"/>
      <c r="R35" s="288"/>
    </row>
    <row r="36" spans="1:22" ht="15.6">
      <c r="A36" s="290" t="s">
        <v>66</v>
      </c>
      <c r="B36" s="291"/>
      <c r="C36" s="287">
        <v>3.7000000000000002E-3</v>
      </c>
      <c r="D36" s="71"/>
      <c r="F36" s="288"/>
      <c r="G36" s="289"/>
      <c r="H36" s="289"/>
      <c r="I36" s="289"/>
      <c r="J36" s="288"/>
      <c r="K36" s="288"/>
      <c r="L36" s="288"/>
      <c r="M36" s="289"/>
      <c r="N36" s="289"/>
      <c r="O36" s="289"/>
      <c r="P36" s="288"/>
      <c r="Q36" s="288"/>
      <c r="R36" s="288"/>
      <c r="S36" s="292"/>
      <c r="T36" s="289"/>
      <c r="U36" s="289"/>
    </row>
    <row r="37" spans="1:22" ht="15.6">
      <c r="A37" s="290" t="s">
        <v>65</v>
      </c>
      <c r="B37" s="291"/>
      <c r="C37" s="293">
        <v>0.97</v>
      </c>
      <c r="D37" s="71"/>
      <c r="F37" s="288"/>
      <c r="G37" s="289"/>
      <c r="H37" s="289"/>
      <c r="I37" s="289"/>
      <c r="J37" s="288"/>
      <c r="K37" s="288"/>
      <c r="L37" s="288"/>
      <c r="M37" s="288"/>
      <c r="N37" s="288"/>
      <c r="O37" s="289"/>
      <c r="P37" s="289"/>
      <c r="Q37" s="289"/>
      <c r="R37" s="288"/>
      <c r="S37" s="288"/>
      <c r="T37" s="288"/>
      <c r="U37" s="288"/>
    </row>
    <row r="38" spans="1:22" ht="16.2" hidden="1" thickBot="1">
      <c r="A38" s="294" t="s">
        <v>67</v>
      </c>
      <c r="B38" s="295"/>
      <c r="C38" s="296">
        <f>[2]FY19CAF!BK27</f>
        <v>2.6217739003998465E-2</v>
      </c>
      <c r="D38" s="71"/>
      <c r="L38" s="297"/>
      <c r="M38" s="298"/>
      <c r="N38"/>
      <c r="O38"/>
      <c r="S38"/>
      <c r="T38"/>
      <c r="U38"/>
    </row>
    <row r="39" spans="1:22" ht="16.2" thickBot="1">
      <c r="A39" s="294" t="s">
        <v>85</v>
      </c>
      <c r="B39" s="295"/>
      <c r="C39" s="296">
        <v>1.78E-2</v>
      </c>
      <c r="D39" s="299"/>
      <c r="L39" s="297"/>
      <c r="M39" s="298"/>
      <c r="N39"/>
      <c r="O39"/>
      <c r="S39" s="300"/>
      <c r="T39" s="300"/>
      <c r="U39" s="300"/>
      <c r="V39" s="181"/>
    </row>
  </sheetData>
  <mergeCells count="9">
    <mergeCell ref="A38:B38"/>
    <mergeCell ref="A39:B39"/>
    <mergeCell ref="A2:D2"/>
    <mergeCell ref="F2:J2"/>
    <mergeCell ref="L2:P2"/>
    <mergeCell ref="R2:V2"/>
    <mergeCell ref="F3:J3"/>
    <mergeCell ref="L3:P3"/>
    <mergeCell ref="R3:V3"/>
  </mergeCells>
  <pageMargins left="0.25" right="0.25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zoomScale="70" zoomScaleNormal="70" workbookViewId="0">
      <selection activeCell="F16" sqref="F16"/>
    </sheetView>
  </sheetViews>
  <sheetFormatPr defaultColWidth="9.109375" defaultRowHeight="14.4"/>
  <cols>
    <col min="1" max="1" width="39.88671875" customWidth="1"/>
    <col min="2" max="2" width="16.5546875" customWidth="1"/>
    <col min="3" max="3" width="19.5546875" style="174" customWidth="1"/>
    <col min="4" max="4" width="9.88671875" style="174" customWidth="1"/>
    <col min="5" max="5" width="8" customWidth="1"/>
    <col min="6" max="6" width="25.88671875" customWidth="1"/>
    <col min="7" max="7" width="11.6640625" style="174" customWidth="1"/>
    <col min="8" max="8" width="11.6640625" customWidth="1"/>
    <col min="9" max="9" width="12.6640625" style="174" customWidth="1"/>
    <col min="10" max="10" width="11.6640625" customWidth="1"/>
    <col min="11" max="11" width="3.44140625" customWidth="1"/>
    <col min="12" max="12" width="24.109375" customWidth="1"/>
    <col min="13" max="13" width="17.33203125" style="174" customWidth="1"/>
    <col min="14" max="15" width="11.6640625" style="174" customWidth="1"/>
    <col min="16" max="16" width="11.5546875" customWidth="1"/>
  </cols>
  <sheetData>
    <row r="1" spans="1:19" ht="15" thickBot="1"/>
    <row r="2" spans="1:19" ht="18" customHeight="1" thickBot="1">
      <c r="A2" s="301" t="s">
        <v>86</v>
      </c>
      <c r="B2" s="302"/>
      <c r="C2" s="302"/>
      <c r="D2" s="303"/>
      <c r="F2" s="304" t="s">
        <v>87</v>
      </c>
      <c r="G2" s="305"/>
      <c r="H2" s="305"/>
      <c r="I2" s="305"/>
      <c r="J2" s="306"/>
      <c r="L2" s="304" t="s">
        <v>88</v>
      </c>
      <c r="M2" s="305"/>
      <c r="N2" s="305"/>
      <c r="O2" s="305"/>
      <c r="P2" s="306"/>
    </row>
    <row r="3" spans="1:19" ht="18" customHeight="1">
      <c r="A3" s="307"/>
      <c r="B3" s="186"/>
      <c r="C3" s="187" t="s">
        <v>6</v>
      </c>
      <c r="D3" s="188" t="s">
        <v>25</v>
      </c>
      <c r="F3" s="63" t="s">
        <v>26</v>
      </c>
      <c r="G3" s="64" t="s">
        <v>27</v>
      </c>
      <c r="H3" s="65" t="s">
        <v>28</v>
      </c>
      <c r="I3" s="66">
        <v>365</v>
      </c>
      <c r="J3" s="73">
        <v>2920</v>
      </c>
      <c r="K3" s="308"/>
      <c r="L3" s="63" t="s">
        <v>26</v>
      </c>
      <c r="M3" s="64" t="s">
        <v>27</v>
      </c>
      <c r="N3" s="65" t="s">
        <v>28</v>
      </c>
      <c r="O3" s="66">
        <v>365</v>
      </c>
      <c r="P3" s="73">
        <v>2920</v>
      </c>
    </row>
    <row r="4" spans="1:19" ht="15.6">
      <c r="A4" s="195" t="s">
        <v>29</v>
      </c>
      <c r="B4" s="227"/>
      <c r="C4" s="197"/>
      <c r="D4" s="198"/>
      <c r="F4" s="63"/>
      <c r="G4" s="72">
        <v>8</v>
      </c>
      <c r="H4" s="65"/>
      <c r="I4" s="66"/>
      <c r="J4" s="73"/>
      <c r="K4" s="308"/>
      <c r="L4" s="63"/>
      <c r="M4" s="72">
        <v>8</v>
      </c>
      <c r="N4" s="65"/>
      <c r="O4" s="66"/>
      <c r="P4" s="73"/>
    </row>
    <row r="5" spans="1:19" ht="15.6">
      <c r="A5" s="290" t="s">
        <v>30</v>
      </c>
      <c r="B5" s="291"/>
      <c r="C5" s="309">
        <f>'4624-Emergency Shelters'!C5</f>
        <v>49579.132358515446</v>
      </c>
      <c r="D5" s="198">
        <v>16.100000000000001</v>
      </c>
      <c r="F5" s="80"/>
      <c r="G5" s="76"/>
      <c r="H5" s="77" t="s">
        <v>32</v>
      </c>
      <c r="I5" s="78" t="s">
        <v>33</v>
      </c>
      <c r="J5" s="79" t="s">
        <v>34</v>
      </c>
      <c r="K5" s="308"/>
      <c r="L5" s="80"/>
      <c r="M5" s="76"/>
      <c r="N5" s="77" t="s">
        <v>32</v>
      </c>
      <c r="O5" s="78" t="s">
        <v>33</v>
      </c>
      <c r="P5" s="79" t="s">
        <v>34</v>
      </c>
    </row>
    <row r="6" spans="1:19" ht="15.6">
      <c r="A6" s="290" t="s">
        <v>35</v>
      </c>
      <c r="B6" s="291"/>
      <c r="C6" s="309">
        <f>'4624-Emergency Shelters'!C6</f>
        <v>49579.132358515446</v>
      </c>
      <c r="D6" s="198">
        <v>41.3</v>
      </c>
      <c r="F6" s="310" t="s">
        <v>29</v>
      </c>
      <c r="G6" s="82"/>
      <c r="H6" s="65">
        <f>C7</f>
        <v>49579.132358515446</v>
      </c>
      <c r="I6" s="83">
        <v>0.9</v>
      </c>
      <c r="J6" s="84">
        <f>H6*I6</f>
        <v>44621.219122663904</v>
      </c>
      <c r="K6" s="308"/>
      <c r="L6" s="310" t="s">
        <v>29</v>
      </c>
      <c r="M6" s="82"/>
      <c r="N6" s="65">
        <f>C7</f>
        <v>49579.132358515446</v>
      </c>
      <c r="O6" s="83">
        <v>0.9</v>
      </c>
      <c r="P6" s="84">
        <f>N6*O6</f>
        <v>44621.219122663904</v>
      </c>
    </row>
    <row r="7" spans="1:19" ht="15.6">
      <c r="A7" s="290" t="s">
        <v>36</v>
      </c>
      <c r="B7" s="291"/>
      <c r="C7" s="309">
        <f>'4624-Emergency Shelters'!C7</f>
        <v>49579.132358515446</v>
      </c>
      <c r="D7" s="198">
        <v>9</v>
      </c>
      <c r="F7" s="310" t="str">
        <f>A13</f>
        <v>Direct Care III</v>
      </c>
      <c r="G7" s="82"/>
      <c r="H7" s="65">
        <f>C14</f>
        <v>0</v>
      </c>
      <c r="I7" s="83">
        <v>0.25</v>
      </c>
      <c r="J7" s="84">
        <f>I7*H7</f>
        <v>0</v>
      </c>
      <c r="K7" s="308"/>
      <c r="L7" s="310" t="str">
        <f>A13</f>
        <v>Direct Care III</v>
      </c>
      <c r="M7" s="82"/>
      <c r="N7" s="65">
        <f>C14</f>
        <v>0</v>
      </c>
      <c r="O7" s="83">
        <v>0.25</v>
      </c>
      <c r="P7" s="84">
        <f>O7*N7</f>
        <v>0</v>
      </c>
    </row>
    <row r="8" spans="1:19" ht="15.6">
      <c r="A8" s="311" t="s">
        <v>38</v>
      </c>
      <c r="B8" s="291"/>
      <c r="C8" s="309"/>
      <c r="D8" s="198"/>
      <c r="F8" s="63" t="s">
        <v>38</v>
      </c>
      <c r="G8" s="82"/>
      <c r="H8" s="65">
        <f>C11</f>
        <v>32198.400000000001</v>
      </c>
      <c r="I8" s="83">
        <v>6</v>
      </c>
      <c r="J8" s="84">
        <f t="shared" ref="J8:J10" si="0">H8*I8</f>
        <v>193190.40000000002</v>
      </c>
      <c r="K8" s="308"/>
      <c r="L8" s="63" t="s">
        <v>38</v>
      </c>
      <c r="M8" s="82"/>
      <c r="N8" s="65">
        <f>C11</f>
        <v>32198.400000000001</v>
      </c>
      <c r="O8" s="83">
        <v>6</v>
      </c>
      <c r="P8" s="84">
        <f t="shared" ref="P8:P10" si="1">N8*O8</f>
        <v>193190.40000000002</v>
      </c>
      <c r="S8" s="297"/>
    </row>
    <row r="9" spans="1:19" ht="15.6">
      <c r="A9" s="290" t="s">
        <v>30</v>
      </c>
      <c r="B9" s="291"/>
      <c r="C9" s="309">
        <f>'4624-Emergency Shelters'!C9</f>
        <v>32198.400000000001</v>
      </c>
      <c r="D9" s="198">
        <v>3.5</v>
      </c>
      <c r="F9" s="312" t="s">
        <v>89</v>
      </c>
      <c r="G9" s="82"/>
      <c r="H9" s="65">
        <f>C12</f>
        <v>32198.400000000001</v>
      </c>
      <c r="I9" s="83">
        <f>SUM(I7:I8)*C51</f>
        <v>0.89903846153846156</v>
      </c>
      <c r="J9" s="84">
        <f>H9*I9</f>
        <v>28947.600000000002</v>
      </c>
      <c r="K9" s="308"/>
      <c r="L9" s="312" t="s">
        <v>90</v>
      </c>
      <c r="M9" s="82"/>
      <c r="N9" s="65">
        <f>C12</f>
        <v>32198.400000000001</v>
      </c>
      <c r="O9" s="83">
        <f>SUM(O7:O8)*C51</f>
        <v>0.89903846153846156</v>
      </c>
      <c r="P9" s="84">
        <f t="shared" si="1"/>
        <v>28947.600000000002</v>
      </c>
    </row>
    <row r="10" spans="1:19" ht="15.6">
      <c r="A10" s="290" t="s">
        <v>35</v>
      </c>
      <c r="B10" s="291"/>
      <c r="C10" s="309">
        <f>'4624-Emergency Shelters'!C10</f>
        <v>32198.400000000001</v>
      </c>
      <c r="D10" s="198">
        <v>4.9000000000000004</v>
      </c>
      <c r="F10" s="63" t="str">
        <f>A20</f>
        <v>Clinical Staff w/o Lic</v>
      </c>
      <c r="G10" s="82"/>
      <c r="H10" s="65">
        <f>C20</f>
        <v>52666</v>
      </c>
      <c r="I10" s="83">
        <v>0.5</v>
      </c>
      <c r="J10" s="84">
        <f t="shared" si="0"/>
        <v>26333</v>
      </c>
      <c r="K10" s="308"/>
      <c r="L10" s="63" t="str">
        <f>F10</f>
        <v>Clinical Staff w/o Lic</v>
      </c>
      <c r="M10" s="82"/>
      <c r="N10" s="65">
        <f>C20</f>
        <v>52666</v>
      </c>
      <c r="O10" s="83">
        <v>0.5</v>
      </c>
      <c r="P10" s="84">
        <f t="shared" si="1"/>
        <v>26333</v>
      </c>
    </row>
    <row r="11" spans="1:19" ht="15.6">
      <c r="A11" s="290" t="s">
        <v>36</v>
      </c>
      <c r="B11" s="291"/>
      <c r="C11" s="309">
        <f>'4624-Emergency Shelters'!C11</f>
        <v>32198.400000000001</v>
      </c>
      <c r="D11" s="198">
        <v>1.3</v>
      </c>
      <c r="F11" s="63"/>
      <c r="G11" s="82"/>
      <c r="H11" s="65"/>
      <c r="I11" s="83"/>
      <c r="J11" s="84"/>
      <c r="K11" s="308"/>
      <c r="L11" s="63"/>
      <c r="M11" s="82"/>
      <c r="N11" s="65"/>
      <c r="O11" s="83"/>
      <c r="P11" s="84"/>
    </row>
    <row r="12" spans="1:19" ht="15.6">
      <c r="A12" s="311" t="s">
        <v>90</v>
      </c>
      <c r="B12" s="291"/>
      <c r="C12" s="309">
        <f>'4624-Emergency Shelters'!C12</f>
        <v>32198.400000000001</v>
      </c>
      <c r="D12" s="198"/>
      <c r="F12" s="89" t="s">
        <v>40</v>
      </c>
      <c r="G12" s="90"/>
      <c r="H12" s="91"/>
      <c r="I12" s="92">
        <f>SUM(I6:I11)</f>
        <v>8.549038461538462</v>
      </c>
      <c r="J12" s="93">
        <f>SUM(J6:J11)</f>
        <v>293092.2191226639</v>
      </c>
      <c r="K12" s="308"/>
      <c r="L12" s="89" t="s">
        <v>40</v>
      </c>
      <c r="M12" s="90"/>
      <c r="N12" s="91"/>
      <c r="O12" s="92">
        <f>SUM(O6:O11)</f>
        <v>8.549038461538462</v>
      </c>
      <c r="P12" s="93">
        <f>SUM(P6:P11)</f>
        <v>293092.2191226639</v>
      </c>
    </row>
    <row r="13" spans="1:19" ht="15.6">
      <c r="A13" s="311" t="s">
        <v>91</v>
      </c>
      <c r="B13" s="291"/>
      <c r="C13" s="309"/>
      <c r="D13" s="198"/>
      <c r="F13" s="95"/>
      <c r="G13" s="72"/>
      <c r="H13" s="65"/>
      <c r="I13" s="83"/>
      <c r="J13" s="84"/>
      <c r="K13" s="308"/>
      <c r="L13" s="95"/>
      <c r="M13" s="72"/>
      <c r="N13" s="65"/>
      <c r="O13" s="83"/>
      <c r="P13" s="84"/>
    </row>
    <row r="14" spans="1:19" ht="15.6">
      <c r="A14" s="290" t="s">
        <v>44</v>
      </c>
      <c r="B14" s="291"/>
      <c r="C14" s="309"/>
      <c r="D14" s="198">
        <v>20</v>
      </c>
      <c r="F14" s="96" t="s">
        <v>12</v>
      </c>
      <c r="G14" s="72"/>
      <c r="H14" s="97">
        <f>C22</f>
        <v>0.22309999999999999</v>
      </c>
      <c r="I14" s="66"/>
      <c r="J14" s="84">
        <f>H14*J12</f>
        <v>65388.874086266311</v>
      </c>
      <c r="K14" s="308"/>
      <c r="L14" s="96" t="s">
        <v>12</v>
      </c>
      <c r="M14" s="72"/>
      <c r="N14" s="97">
        <f>C22</f>
        <v>0.22309999999999999</v>
      </c>
      <c r="O14" s="66"/>
      <c r="P14" s="84">
        <f>N14*P12</f>
        <v>65388.874086266311</v>
      </c>
    </row>
    <row r="15" spans="1:19" ht="15.6">
      <c r="A15" s="290" t="s">
        <v>41</v>
      </c>
      <c r="B15" s="291"/>
      <c r="C15" s="309">
        <f>'4624-Emergency Shelters'!C15</f>
        <v>41516.800000000003</v>
      </c>
      <c r="D15" s="198">
        <v>40</v>
      </c>
      <c r="F15" s="89" t="s">
        <v>43</v>
      </c>
      <c r="G15" s="90"/>
      <c r="H15" s="114"/>
      <c r="I15" s="92"/>
      <c r="J15" s="93">
        <f>J12+J14</f>
        <v>358481.09320893022</v>
      </c>
      <c r="K15" s="308"/>
      <c r="L15" s="89" t="s">
        <v>43</v>
      </c>
      <c r="M15" s="90"/>
      <c r="N15" s="114"/>
      <c r="O15" s="92"/>
      <c r="P15" s="93">
        <f>SUM(P12:P14)</f>
        <v>358481.09320893022</v>
      </c>
    </row>
    <row r="16" spans="1:19" ht="15.6">
      <c r="A16" s="290" t="s">
        <v>47</v>
      </c>
      <c r="B16" s="291"/>
      <c r="C16" s="309">
        <f>'4624-Emergency Shelters'!C16</f>
        <v>41516.800000000003</v>
      </c>
      <c r="D16" s="198">
        <v>80</v>
      </c>
      <c r="F16" s="96"/>
      <c r="G16" s="72"/>
      <c r="H16" s="103"/>
      <c r="I16" s="83"/>
      <c r="J16" s="84"/>
      <c r="K16" s="308"/>
      <c r="L16" s="96"/>
      <c r="M16" s="72"/>
      <c r="N16" s="103"/>
      <c r="O16" s="83"/>
      <c r="P16" s="84"/>
    </row>
    <row r="17" spans="1:17" ht="15.6">
      <c r="A17" s="290" t="s">
        <v>92</v>
      </c>
      <c r="B17" s="291"/>
      <c r="C17" s="313">
        <v>35000</v>
      </c>
      <c r="D17" s="314" t="s">
        <v>93</v>
      </c>
      <c r="F17" s="96" t="s">
        <v>45</v>
      </c>
      <c r="G17" s="72"/>
      <c r="H17" s="103"/>
      <c r="I17" s="66" t="s">
        <v>46</v>
      </c>
      <c r="J17" s="84"/>
      <c r="K17" s="308"/>
      <c r="L17" s="96" t="s">
        <v>45</v>
      </c>
      <c r="M17" s="72"/>
      <c r="N17" s="65"/>
      <c r="O17" s="66" t="s">
        <v>46</v>
      </c>
      <c r="P17" s="84"/>
    </row>
    <row r="18" spans="1:17" ht="15.6">
      <c r="A18" s="311" t="s">
        <v>49</v>
      </c>
      <c r="B18" s="291"/>
      <c r="C18" s="309"/>
      <c r="D18" s="198"/>
      <c r="F18" s="96" t="s">
        <v>48</v>
      </c>
      <c r="G18" s="72"/>
      <c r="H18" s="103"/>
      <c r="I18" s="66"/>
      <c r="J18" s="84">
        <v>1200</v>
      </c>
      <c r="K18" s="308"/>
      <c r="L18" s="96" t="s">
        <v>48</v>
      </c>
      <c r="M18" s="72"/>
      <c r="N18" s="103"/>
      <c r="O18" s="66"/>
      <c r="P18" s="84">
        <v>1200</v>
      </c>
    </row>
    <row r="19" spans="1:17" ht="15.6">
      <c r="A19" s="290" t="s">
        <v>94</v>
      </c>
      <c r="B19" s="291"/>
      <c r="C19" s="309">
        <f>'4624-Emergency Shelters'!C18</f>
        <v>60923.199999999997</v>
      </c>
      <c r="D19" s="198"/>
      <c r="F19" s="96" t="s">
        <v>92</v>
      </c>
      <c r="G19" s="72"/>
      <c r="H19" s="103"/>
      <c r="I19" s="66"/>
      <c r="J19" s="84">
        <v>35000</v>
      </c>
      <c r="K19" s="308"/>
      <c r="L19" s="96" t="str">
        <f>F19</f>
        <v>Subcontracted Services</v>
      </c>
      <c r="M19" s="72"/>
      <c r="N19" s="103"/>
      <c r="O19" s="66"/>
      <c r="P19" s="84">
        <f>J19</f>
        <v>35000</v>
      </c>
    </row>
    <row r="20" spans="1:17" ht="15.6">
      <c r="A20" s="290" t="s">
        <v>95</v>
      </c>
      <c r="B20" s="291"/>
      <c r="C20" s="309">
        <v>52666</v>
      </c>
      <c r="D20" s="198"/>
      <c r="F20" s="96" t="s">
        <v>50</v>
      </c>
      <c r="G20" s="72"/>
      <c r="H20" s="103"/>
      <c r="I20" s="83">
        <f>C26</f>
        <v>15.290644311159577</v>
      </c>
      <c r="J20" s="84">
        <f>I20*J3</f>
        <v>44648.681388585966</v>
      </c>
      <c r="K20" s="308"/>
      <c r="L20" s="96" t="s">
        <v>50</v>
      </c>
      <c r="M20" s="72"/>
      <c r="N20" s="103"/>
      <c r="O20" s="83">
        <f>C25</f>
        <v>5.4696591214482222</v>
      </c>
      <c r="P20" s="84">
        <f>P3*O20</f>
        <v>15971.404634628809</v>
      </c>
    </row>
    <row r="21" spans="1:17" ht="15.6">
      <c r="A21" s="311" t="s">
        <v>45</v>
      </c>
      <c r="B21" s="291"/>
      <c r="C21" s="315"/>
      <c r="D21" s="198"/>
      <c r="F21" s="96" t="s">
        <v>52</v>
      </c>
      <c r="G21" s="72"/>
      <c r="H21" s="103"/>
      <c r="I21" s="83">
        <f>C32</f>
        <v>10.200604325699743</v>
      </c>
      <c r="J21" s="84">
        <f>I21*J3</f>
        <v>29785.76463104325</v>
      </c>
      <c r="K21" s="308"/>
      <c r="L21" s="96" t="s">
        <v>52</v>
      </c>
      <c r="M21" s="72"/>
      <c r="N21" s="103"/>
      <c r="O21" s="83">
        <f>C32</f>
        <v>10.200604325699743</v>
      </c>
      <c r="P21" s="84">
        <f>P3*O21</f>
        <v>29785.76463104325</v>
      </c>
    </row>
    <row r="22" spans="1:17" ht="15.6">
      <c r="A22" s="290" t="s">
        <v>12</v>
      </c>
      <c r="B22" s="291"/>
      <c r="C22" s="234">
        <v>0.22309999999999999</v>
      </c>
      <c r="D22" s="316"/>
      <c r="F22" s="96" t="s">
        <v>96</v>
      </c>
      <c r="G22" s="72"/>
      <c r="H22" s="103"/>
      <c r="I22" s="83">
        <f>C35</f>
        <v>205.24354780079966</v>
      </c>
      <c r="J22" s="84">
        <f>I22*SUM(I8:I10)</f>
        <v>1518.6049041607243</v>
      </c>
      <c r="K22" s="308"/>
      <c r="L22" s="96" t="str">
        <f>A34</f>
        <v>Staff Training (per DC FTE)</v>
      </c>
      <c r="M22" s="72"/>
      <c r="N22" s="103"/>
      <c r="O22" s="83">
        <f>C35</f>
        <v>205.24354780079966</v>
      </c>
      <c r="P22" s="84">
        <f>O22*SUM(O8:O10)</f>
        <v>1518.6049041607243</v>
      </c>
    </row>
    <row r="23" spans="1:17" ht="15.6">
      <c r="A23" s="290"/>
      <c r="B23" s="291"/>
      <c r="C23" s="234"/>
      <c r="D23" s="316"/>
      <c r="F23" s="96" t="str">
        <f>A38</f>
        <v>PFMLA</v>
      </c>
      <c r="G23" s="72"/>
      <c r="H23" s="103"/>
      <c r="I23" s="107">
        <f>C38</f>
        <v>3.7000000000000002E-3</v>
      </c>
      <c r="J23" s="117">
        <f>I23*J12</f>
        <v>1084.4412107538565</v>
      </c>
      <c r="K23" s="308"/>
      <c r="L23" s="96" t="str">
        <f>A38</f>
        <v>PFMLA</v>
      </c>
      <c r="M23" s="72"/>
      <c r="N23" s="103"/>
      <c r="O23" s="317">
        <f>C38</f>
        <v>3.7000000000000002E-3</v>
      </c>
      <c r="P23" s="117">
        <f>P12*O23</f>
        <v>1084.4412107538565</v>
      </c>
    </row>
    <row r="24" spans="1:17" ht="15.6">
      <c r="A24" s="311" t="s">
        <v>50</v>
      </c>
      <c r="B24" s="291"/>
      <c r="C24" s="315"/>
      <c r="D24" s="316"/>
      <c r="F24" s="96"/>
      <c r="G24" s="72"/>
      <c r="H24" s="103"/>
      <c r="I24" s="83"/>
      <c r="J24" s="84">
        <f>SUM(J18:J23)</f>
        <v>113237.49213454379</v>
      </c>
      <c r="K24" s="308"/>
      <c r="L24" s="96"/>
      <c r="M24" s="72"/>
      <c r="N24" s="103"/>
      <c r="O24" s="83"/>
      <c r="P24" s="84">
        <f>SUM(P18:P23)</f>
        <v>84560.215380586626</v>
      </c>
    </row>
    <row r="25" spans="1:17" ht="15.6">
      <c r="A25" s="290" t="s">
        <v>54</v>
      </c>
      <c r="B25" s="291"/>
      <c r="C25" s="318">
        <f>'[2]FTS - 4625- Resi Housing Stab'!C23</f>
        <v>5.4696591214482222</v>
      </c>
      <c r="D25" s="316"/>
      <c r="F25" s="96"/>
      <c r="G25" s="72"/>
      <c r="H25" s="103"/>
      <c r="I25" s="113"/>
      <c r="J25" s="84"/>
      <c r="K25" s="308"/>
      <c r="L25" s="96"/>
      <c r="M25" s="72"/>
      <c r="N25" s="103"/>
      <c r="O25" s="113"/>
      <c r="P25" s="84"/>
    </row>
    <row r="26" spans="1:17" ht="15.6">
      <c r="A26" s="290" t="s">
        <v>97</v>
      </c>
      <c r="B26" s="291"/>
      <c r="C26" s="318">
        <f>14.9*(C41+1)</f>
        <v>15.290644311159577</v>
      </c>
      <c r="D26" s="319"/>
      <c r="F26" s="89" t="s">
        <v>55</v>
      </c>
      <c r="G26" s="90"/>
      <c r="H26" s="114"/>
      <c r="I26" s="92"/>
      <c r="J26" s="93">
        <f>J15+J24</f>
        <v>471718.585343474</v>
      </c>
      <c r="K26" s="308"/>
      <c r="L26" s="89" t="s">
        <v>55</v>
      </c>
      <c r="M26" s="90"/>
      <c r="N26" s="114"/>
      <c r="O26" s="92"/>
      <c r="P26" s="93">
        <f>P15+P24</f>
        <v>443041.30858951685</v>
      </c>
    </row>
    <row r="27" spans="1:17" ht="15.6">
      <c r="A27" s="290" t="s">
        <v>36</v>
      </c>
      <c r="B27" s="291"/>
      <c r="C27" s="318">
        <f>17.5901322889988*(C41+1)</f>
        <v>18.051305786397574</v>
      </c>
      <c r="D27" s="316"/>
      <c r="F27" s="96"/>
      <c r="G27" s="72"/>
      <c r="H27" s="103"/>
      <c r="I27" s="83"/>
      <c r="J27" s="84"/>
      <c r="K27" s="308"/>
      <c r="L27" s="96"/>
      <c r="M27" s="72"/>
      <c r="N27" s="103"/>
      <c r="O27" s="83"/>
      <c r="P27" s="84"/>
    </row>
    <row r="28" spans="1:17" ht="15.6">
      <c r="A28" s="311" t="s">
        <v>52</v>
      </c>
      <c r="B28" s="291"/>
      <c r="C28" s="273"/>
      <c r="D28" s="316"/>
      <c r="F28" s="96" t="s">
        <v>57</v>
      </c>
      <c r="G28" s="72"/>
      <c r="H28" s="97">
        <f>C37</f>
        <v>0.1237</v>
      </c>
      <c r="I28" s="83"/>
      <c r="J28" s="84">
        <f>J26*H28</f>
        <v>58351.589006987735</v>
      </c>
      <c r="K28" s="308"/>
      <c r="L28" s="96" t="s">
        <v>57</v>
      </c>
      <c r="M28" s="72"/>
      <c r="N28" s="97">
        <f>$C$37</f>
        <v>0.1237</v>
      </c>
      <c r="O28" s="83"/>
      <c r="P28" s="84">
        <f>P26*N28</f>
        <v>54804.209872523235</v>
      </c>
    </row>
    <row r="29" spans="1:17" ht="16.2" thickBot="1">
      <c r="A29" s="290" t="s">
        <v>47</v>
      </c>
      <c r="B29" s="291"/>
      <c r="C29" s="318">
        <f>'[2]FTS - 4625- Resi Housing Stab'!C26</f>
        <v>7.1445278989458361</v>
      </c>
      <c r="D29" s="316"/>
      <c r="F29" s="320" t="s">
        <v>98</v>
      </c>
      <c r="G29" s="321"/>
      <c r="H29" s="322"/>
      <c r="I29" s="323"/>
      <c r="J29" s="324">
        <f>J26+J28</f>
        <v>530070.17435046169</v>
      </c>
      <c r="K29" s="308"/>
      <c r="L29" s="320" t="s">
        <v>59</v>
      </c>
      <c r="M29" s="321"/>
      <c r="N29" s="322"/>
      <c r="O29" s="323"/>
      <c r="P29" s="324">
        <f>SUM(P26:P28)</f>
        <v>497845.51846204011</v>
      </c>
    </row>
    <row r="30" spans="1:17" ht="16.2" thickTop="1">
      <c r="A30" s="290" t="s">
        <v>56</v>
      </c>
      <c r="B30" s="291"/>
      <c r="C30" s="318">
        <f>'[2]FTS - 4625- Resi Housing Stab'!C27</f>
        <v>6.4138608687749894</v>
      </c>
      <c r="D30" s="316"/>
      <c r="F30" s="96" t="s">
        <v>18</v>
      </c>
      <c r="G30" s="72"/>
      <c r="H30" s="107">
        <f>C42</f>
        <v>1.78E-2</v>
      </c>
      <c r="I30" s="83"/>
      <c r="J30" s="84">
        <f>(J14+J24+J28)*H30</f>
        <v>4218.2076030548014</v>
      </c>
      <c r="K30" s="308"/>
      <c r="L30" s="96" t="s">
        <v>18</v>
      </c>
      <c r="M30" s="129"/>
      <c r="N30" s="107">
        <f>C42</f>
        <v>1.78E-2</v>
      </c>
      <c r="O30" s="131"/>
      <c r="P30" s="84">
        <f>(P14+P24+P28)*N30</f>
        <v>3644.6087282408962</v>
      </c>
      <c r="Q30" s="272"/>
    </row>
    <row r="31" spans="1:17" ht="15.6">
      <c r="A31" s="290" t="s">
        <v>58</v>
      </c>
      <c r="B31" s="291"/>
      <c r="C31" s="318">
        <f>'[2]FTS - 4625- Resi Housing Stab'!C28</f>
        <v>5.4800027262813513</v>
      </c>
      <c r="D31" s="316"/>
      <c r="F31" s="96"/>
      <c r="G31" s="72"/>
      <c r="H31" s="107"/>
      <c r="I31" s="83"/>
      <c r="J31" s="325">
        <f>SUM(J29:J30)</f>
        <v>534288.38195351651</v>
      </c>
      <c r="K31" s="308"/>
      <c r="L31" s="96"/>
      <c r="M31" s="129"/>
      <c r="N31" s="107"/>
      <c r="O31" s="131"/>
      <c r="P31" s="326">
        <f>SUM(P29:P30)</f>
        <v>501490.127190281</v>
      </c>
      <c r="Q31" s="272"/>
    </row>
    <row r="32" spans="1:17" ht="15.6">
      <c r="A32" s="290" t="s">
        <v>60</v>
      </c>
      <c r="B32" s="291"/>
      <c r="C32" s="318">
        <f>'[2]FTS - 4625- Resi Housing Stab'!C29</f>
        <v>10.200604325699743</v>
      </c>
      <c r="D32" s="327" t="s">
        <v>93</v>
      </c>
      <c r="F32" s="96" t="s">
        <v>84</v>
      </c>
      <c r="G32" s="72"/>
      <c r="H32" s="107"/>
      <c r="I32" s="83"/>
      <c r="J32" s="328">
        <f>J31/J3</f>
        <v>182.97547327175224</v>
      </c>
      <c r="K32" s="308"/>
      <c r="L32" s="96" t="s">
        <v>84</v>
      </c>
      <c r="M32" s="129"/>
      <c r="N32" s="107"/>
      <c r="O32" s="131"/>
      <c r="P32" s="132">
        <f>P31/P3</f>
        <v>171.7431942432469</v>
      </c>
    </row>
    <row r="33" spans="1:17" ht="15.6">
      <c r="A33" s="290" t="s">
        <v>36</v>
      </c>
      <c r="B33" s="291"/>
      <c r="C33" s="318">
        <f>10*(1+C41)</f>
        <v>10.262177390039984</v>
      </c>
      <c r="D33" s="316"/>
      <c r="F33" s="329"/>
      <c r="G33" s="330"/>
      <c r="H33" s="331"/>
      <c r="I33" s="116"/>
      <c r="J33" s="332"/>
      <c r="K33" s="308"/>
      <c r="L33" s="333"/>
      <c r="M33" s="334"/>
      <c r="N33" s="335"/>
      <c r="O33" s="336"/>
      <c r="P33" s="337"/>
    </row>
    <row r="34" spans="1:17" ht="16.2" thickBot="1">
      <c r="A34" s="311" t="s">
        <v>62</v>
      </c>
      <c r="B34" s="291"/>
      <c r="C34" s="273"/>
      <c r="D34" s="316"/>
      <c r="F34" s="338" t="s">
        <v>99</v>
      </c>
      <c r="G34" s="339"/>
      <c r="H34" s="340">
        <f>C40</f>
        <v>0.98</v>
      </c>
      <c r="I34" s="341"/>
      <c r="J34" s="342">
        <f>J32/H34</f>
        <v>186.70966660382882</v>
      </c>
      <c r="K34" s="308"/>
      <c r="L34" s="343" t="s">
        <v>100</v>
      </c>
      <c r="M34" s="344"/>
      <c r="N34" s="345">
        <f>H34</f>
        <v>0.98</v>
      </c>
      <c r="O34" s="344"/>
      <c r="P34" s="280">
        <f>P32/N34</f>
        <v>175.24815739106828</v>
      </c>
    </row>
    <row r="35" spans="1:17" ht="15.6">
      <c r="A35" s="290" t="s">
        <v>101</v>
      </c>
      <c r="B35" s="291"/>
      <c r="C35" s="273">
        <f>200*(1+C41)</f>
        <v>205.24354780079966</v>
      </c>
      <c r="D35" s="316"/>
      <c r="F35" s="346"/>
      <c r="G35" s="347"/>
      <c r="H35" s="346"/>
      <c r="I35" s="347"/>
      <c r="J35" s="346"/>
      <c r="L35" s="181"/>
      <c r="M35" s="300"/>
      <c r="N35" s="300"/>
      <c r="O35" s="347"/>
      <c r="P35" s="346"/>
    </row>
    <row r="36" spans="1:17" ht="15.6">
      <c r="A36" s="311" t="s">
        <v>53</v>
      </c>
      <c r="B36" s="291"/>
      <c r="C36" s="273">
        <f>3.58629097775161*(1+C41)</f>
        <v>3.6803154185986959</v>
      </c>
      <c r="D36" s="316"/>
      <c r="F36" s="348"/>
      <c r="G36"/>
      <c r="I36"/>
      <c r="J36" s="349"/>
      <c r="K36" s="350"/>
      <c r="M36"/>
      <c r="N36"/>
      <c r="O36"/>
      <c r="P36" s="349"/>
    </row>
    <row r="37" spans="1:17" ht="17.25" customHeight="1">
      <c r="A37" s="311" t="s">
        <v>57</v>
      </c>
      <c r="B37" s="291"/>
      <c r="C37" s="234">
        <v>0.1237</v>
      </c>
      <c r="D37" s="316"/>
      <c r="F37" s="350"/>
      <c r="G37" s="350"/>
      <c r="H37" s="350"/>
      <c r="I37" s="351"/>
      <c r="J37" s="352"/>
      <c r="K37" s="350"/>
      <c r="L37" s="350"/>
      <c r="M37" s="350"/>
      <c r="N37" s="350"/>
      <c r="O37" s="351"/>
      <c r="P37" s="352"/>
      <c r="Q37" s="350"/>
    </row>
    <row r="38" spans="1:17" ht="15.6">
      <c r="A38" s="311" t="s">
        <v>66</v>
      </c>
      <c r="B38" s="291"/>
      <c r="C38" s="234">
        <v>3.7000000000000002E-3</v>
      </c>
      <c r="D38" s="316"/>
      <c r="F38" s="350"/>
      <c r="G38" s="350"/>
      <c r="H38" s="350"/>
      <c r="I38" s="351"/>
      <c r="J38" s="353"/>
      <c r="K38" s="350"/>
      <c r="L38" s="350"/>
      <c r="M38" s="350"/>
      <c r="N38" s="351"/>
      <c r="O38" s="353"/>
      <c r="P38" s="350"/>
      <c r="Q38" s="350"/>
    </row>
    <row r="39" spans="1:17" ht="15.6">
      <c r="A39" s="311" t="s">
        <v>64</v>
      </c>
      <c r="B39" s="291"/>
      <c r="C39" s="234"/>
      <c r="D39" s="316"/>
      <c r="F39" s="350"/>
      <c r="G39" s="350"/>
      <c r="H39" s="350"/>
      <c r="I39" s="351"/>
      <c r="J39" s="354"/>
      <c r="K39" s="350"/>
      <c r="L39" s="350"/>
      <c r="M39" s="350"/>
      <c r="N39" s="351"/>
      <c r="O39" s="354"/>
      <c r="P39" s="350"/>
      <c r="Q39" s="350"/>
    </row>
    <row r="40" spans="1:17" ht="15.6">
      <c r="A40" s="290" t="s">
        <v>65</v>
      </c>
      <c r="B40" s="291"/>
      <c r="C40" s="355">
        <v>0.98</v>
      </c>
      <c r="D40" s="316"/>
      <c r="F40" s="356"/>
      <c r="G40" s="357"/>
      <c r="H40" s="358"/>
      <c r="I40" s="359"/>
      <c r="J40" s="360"/>
      <c r="K40" s="361"/>
      <c r="L40" s="356"/>
      <c r="M40" s="361"/>
      <c r="N40" s="358"/>
      <c r="O40" s="359"/>
      <c r="P40" s="360"/>
      <c r="Q40" s="350"/>
    </row>
    <row r="41" spans="1:17" ht="15.6" hidden="1">
      <c r="A41" s="362" t="s">
        <v>102</v>
      </c>
      <c r="B41" s="362"/>
      <c r="C41" s="234">
        <f>[2]FY19CAF!BK27</f>
        <v>2.6217739003998465E-2</v>
      </c>
      <c r="D41" s="316"/>
      <c r="F41" s="350"/>
      <c r="G41" s="363"/>
      <c r="H41" s="363"/>
      <c r="I41" s="359"/>
      <c r="J41" s="364"/>
      <c r="K41" s="361"/>
      <c r="L41" s="350"/>
      <c r="M41" s="363"/>
      <c r="N41" s="363"/>
      <c r="O41" s="359"/>
      <c r="P41" s="364"/>
      <c r="Q41" s="350"/>
    </row>
    <row r="42" spans="1:17" ht="16.2" thickBot="1">
      <c r="A42" s="294" t="s">
        <v>85</v>
      </c>
      <c r="B42" s="295"/>
      <c r="C42" s="365">
        <v>1.78E-2</v>
      </c>
      <c r="D42" s="366"/>
      <c r="F42" s="367"/>
      <c r="G42" s="367"/>
      <c r="H42" s="368"/>
      <c r="I42" s="369"/>
      <c r="J42" s="370"/>
      <c r="K42" s="361"/>
      <c r="L42" s="361"/>
      <c r="M42" s="367"/>
      <c r="N42" s="368"/>
      <c r="O42" s="369"/>
      <c r="P42" s="370"/>
      <c r="Q42" s="350"/>
    </row>
    <row r="43" spans="1:17" ht="15.6">
      <c r="A43" s="371"/>
      <c r="B43" s="372"/>
      <c r="C43" s="234"/>
      <c r="D43" s="373"/>
      <c r="F43" s="357"/>
      <c r="G43" s="357"/>
      <c r="H43" s="374"/>
      <c r="I43" s="357"/>
      <c r="J43" s="370"/>
      <c r="K43" s="375"/>
      <c r="L43" s="357"/>
      <c r="M43" s="361"/>
      <c r="N43" s="374"/>
      <c r="O43" s="367"/>
      <c r="P43" s="370"/>
    </row>
    <row r="44" spans="1:17" ht="30.6" customHeight="1" thickBot="1">
      <c r="F44" s="350"/>
      <c r="G44" s="350"/>
      <c r="H44" s="350"/>
      <c r="I44" s="351"/>
      <c r="J44" s="352"/>
      <c r="K44" s="350"/>
      <c r="L44" s="350"/>
      <c r="M44" s="350"/>
      <c r="N44" s="350"/>
      <c r="O44" s="350"/>
      <c r="P44" s="350"/>
    </row>
    <row r="45" spans="1:17" ht="15.6">
      <c r="A45" s="376" t="s">
        <v>69</v>
      </c>
      <c r="B45" s="377" t="s">
        <v>70</v>
      </c>
      <c r="C45" s="378" t="s">
        <v>71</v>
      </c>
      <c r="F45" s="350"/>
      <c r="G45" s="350"/>
      <c r="H45" s="350"/>
      <c r="I45" s="351"/>
      <c r="J45" s="350"/>
      <c r="K45" s="350"/>
      <c r="L45" s="350"/>
      <c r="M45" s="350"/>
      <c r="N45" s="350"/>
      <c r="O45" s="350"/>
      <c r="P45" s="350"/>
    </row>
    <row r="46" spans="1:17" ht="15.6">
      <c r="A46" s="379" t="s">
        <v>72</v>
      </c>
      <c r="B46" s="380">
        <v>15</v>
      </c>
      <c r="C46" s="381">
        <f>B46*8</f>
        <v>120</v>
      </c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</row>
    <row r="47" spans="1:17" ht="15.6">
      <c r="A47" s="379" t="s">
        <v>73</v>
      </c>
      <c r="B47" s="380">
        <v>8</v>
      </c>
      <c r="C47" s="381">
        <f t="shared" ref="C47:C49" si="2">B47*8</f>
        <v>64</v>
      </c>
      <c r="F47" s="363"/>
      <c r="G47" s="363"/>
      <c r="H47" s="350"/>
      <c r="I47" s="363"/>
      <c r="J47" s="350"/>
      <c r="K47" s="350"/>
      <c r="L47" s="350"/>
      <c r="M47" s="350"/>
      <c r="N47" s="350"/>
      <c r="O47" s="350"/>
      <c r="P47" s="350"/>
    </row>
    <row r="48" spans="1:17" ht="15.6">
      <c r="A48" s="379" t="s">
        <v>74</v>
      </c>
      <c r="B48" s="380">
        <v>10</v>
      </c>
      <c r="C48" s="381">
        <f t="shared" si="2"/>
        <v>80</v>
      </c>
      <c r="F48" s="351"/>
      <c r="G48" s="363"/>
      <c r="H48" s="350"/>
      <c r="I48" s="363"/>
      <c r="J48" s="350"/>
      <c r="K48" s="350"/>
      <c r="L48" s="350"/>
      <c r="M48" s="350"/>
      <c r="N48" s="350"/>
      <c r="O48" s="350"/>
      <c r="P48" s="350"/>
    </row>
    <row r="49" spans="1:16" ht="15.6">
      <c r="A49" s="382" t="s">
        <v>75</v>
      </c>
      <c r="B49" s="383">
        <v>4.4000000000000004</v>
      </c>
      <c r="C49" s="384">
        <f t="shared" si="2"/>
        <v>35.200000000000003</v>
      </c>
      <c r="F49" s="350"/>
      <c r="G49" s="363"/>
      <c r="H49" s="350"/>
      <c r="I49" s="363"/>
      <c r="J49" s="350"/>
      <c r="K49" s="350"/>
      <c r="L49" s="350"/>
      <c r="M49" s="350"/>
      <c r="N49" s="350"/>
      <c r="O49" s="350"/>
      <c r="P49" s="350"/>
    </row>
    <row r="50" spans="1:16" ht="15.6">
      <c r="A50" s="379"/>
      <c r="B50" s="385" t="s">
        <v>76</v>
      </c>
      <c r="C50" s="381">
        <f>SUM(C46:C49)</f>
        <v>299.2</v>
      </c>
      <c r="F50" s="351"/>
      <c r="G50" s="363"/>
      <c r="H50" s="350"/>
      <c r="I50" s="350"/>
      <c r="J50" s="350"/>
      <c r="K50" s="350"/>
      <c r="L50" s="350"/>
      <c r="M50" s="350"/>
      <c r="N50" s="350"/>
      <c r="O50" s="350"/>
      <c r="P50" s="350"/>
    </row>
    <row r="51" spans="1:16" ht="16.2" thickBot="1">
      <c r="A51" s="386"/>
      <c r="B51" s="387" t="s">
        <v>77</v>
      </c>
      <c r="C51" s="388">
        <f>C50/(52*40)</f>
        <v>0.14384615384615385</v>
      </c>
      <c r="F51" s="363"/>
      <c r="G51" s="363"/>
      <c r="H51" s="350"/>
      <c r="I51" s="350"/>
      <c r="J51" s="350"/>
      <c r="K51" s="350"/>
      <c r="L51" s="350"/>
      <c r="M51" s="350"/>
      <c r="N51" s="350"/>
      <c r="O51" s="350"/>
      <c r="P51" s="350"/>
    </row>
    <row r="52" spans="1:16">
      <c r="F52" s="351"/>
      <c r="G52" s="363"/>
      <c r="H52" s="350"/>
      <c r="I52" s="389"/>
      <c r="J52" s="350"/>
      <c r="K52" s="350"/>
      <c r="L52" s="350"/>
      <c r="M52" s="350"/>
      <c r="N52" s="350"/>
      <c r="O52" s="350"/>
      <c r="P52" s="350"/>
    </row>
    <row r="53" spans="1:16">
      <c r="F53" s="363"/>
      <c r="G53" s="363"/>
      <c r="H53" s="350"/>
      <c r="I53" s="350"/>
      <c r="J53" s="350"/>
      <c r="K53" s="350"/>
      <c r="L53" s="350"/>
      <c r="M53" s="350"/>
      <c r="N53" s="350"/>
      <c r="O53" s="350"/>
      <c r="P53" s="350"/>
    </row>
    <row r="54" spans="1:16">
      <c r="G54"/>
      <c r="I54"/>
      <c r="M54"/>
      <c r="N54"/>
      <c r="O54"/>
    </row>
    <row r="55" spans="1:16">
      <c r="G55"/>
      <c r="I55"/>
      <c r="M55"/>
      <c r="N55"/>
      <c r="O55"/>
    </row>
    <row r="56" spans="1:16">
      <c r="G56"/>
      <c r="I56"/>
      <c r="M56"/>
      <c r="N56"/>
      <c r="O56"/>
    </row>
    <row r="57" spans="1:16">
      <c r="G57"/>
      <c r="I57"/>
      <c r="M57"/>
      <c r="N57"/>
      <c r="O57"/>
    </row>
    <row r="58" spans="1:16">
      <c r="G58"/>
      <c r="I58"/>
      <c r="M58"/>
      <c r="N58"/>
      <c r="O58"/>
    </row>
    <row r="59" spans="1:16">
      <c r="G59"/>
      <c r="I59"/>
      <c r="M59"/>
      <c r="N59"/>
      <c r="O59"/>
    </row>
    <row r="60" spans="1:16">
      <c r="G60"/>
      <c r="I60"/>
      <c r="M60"/>
      <c r="N60"/>
      <c r="O60"/>
    </row>
    <row r="61" spans="1:16">
      <c r="G61"/>
      <c r="I61"/>
      <c r="M61"/>
      <c r="N61"/>
      <c r="O61"/>
    </row>
    <row r="62" spans="1:16">
      <c r="G62"/>
      <c r="I62"/>
      <c r="M62"/>
      <c r="N62"/>
      <c r="O62"/>
    </row>
    <row r="63" spans="1:16" ht="18" customHeight="1">
      <c r="G63"/>
      <c r="I63"/>
      <c r="M63"/>
      <c r="N63"/>
      <c r="O63"/>
    </row>
    <row r="64" spans="1:16">
      <c r="G64"/>
      <c r="I64"/>
      <c r="M64"/>
      <c r="N64"/>
      <c r="O64"/>
    </row>
    <row r="65" spans="7:15">
      <c r="G65"/>
      <c r="I65"/>
      <c r="M65"/>
      <c r="N65"/>
      <c r="O65"/>
    </row>
    <row r="66" spans="7:15">
      <c r="G66"/>
      <c r="I66"/>
      <c r="M66"/>
      <c r="N66"/>
      <c r="O66"/>
    </row>
    <row r="67" spans="7:15">
      <c r="G67"/>
      <c r="I67"/>
      <c r="M67"/>
      <c r="N67"/>
      <c r="O67"/>
    </row>
    <row r="68" spans="7:15">
      <c r="G68"/>
      <c r="I68"/>
      <c r="M68"/>
      <c r="N68"/>
      <c r="O68"/>
    </row>
    <row r="69" spans="7:15">
      <c r="G69"/>
      <c r="I69"/>
      <c r="M69"/>
      <c r="N69"/>
      <c r="O69"/>
    </row>
    <row r="70" spans="7:15">
      <c r="G70"/>
      <c r="I70"/>
      <c r="M70"/>
      <c r="N70"/>
      <c r="O70"/>
    </row>
    <row r="71" spans="7:15">
      <c r="G71"/>
      <c r="I71"/>
    </row>
  </sheetData>
  <mergeCells count="5">
    <mergeCell ref="A2:D2"/>
    <mergeCell ref="F2:J2"/>
    <mergeCell ref="L2:P2"/>
    <mergeCell ref="A41:B41"/>
    <mergeCell ref="A42:B42"/>
  </mergeCells>
  <pageMargins left="0.25" right="0.25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6"/>
  <sheetViews>
    <sheetView tabSelected="1" topLeftCell="N1" workbookViewId="0">
      <selection activeCell="F16" sqref="F16"/>
    </sheetView>
  </sheetViews>
  <sheetFormatPr defaultRowHeight="13.2"/>
  <cols>
    <col min="1" max="1" width="38.44140625" style="392" customWidth="1"/>
    <col min="2" max="2" width="12.88671875" style="397" customWidth="1"/>
    <col min="3" max="82" width="7.6640625" style="392" customWidth="1"/>
    <col min="83" max="256" width="8.88671875" style="392"/>
    <col min="257" max="257" width="38.44140625" style="392" customWidth="1"/>
    <col min="258" max="258" width="12.88671875" style="392" customWidth="1"/>
    <col min="259" max="338" width="7.6640625" style="392" customWidth="1"/>
    <col min="339" max="512" width="8.88671875" style="392"/>
    <col min="513" max="513" width="38.44140625" style="392" customWidth="1"/>
    <col min="514" max="514" width="12.88671875" style="392" customWidth="1"/>
    <col min="515" max="594" width="7.6640625" style="392" customWidth="1"/>
    <col min="595" max="768" width="8.88671875" style="392"/>
    <col min="769" max="769" width="38.44140625" style="392" customWidth="1"/>
    <col min="770" max="770" width="12.88671875" style="392" customWidth="1"/>
    <col min="771" max="850" width="7.6640625" style="392" customWidth="1"/>
    <col min="851" max="1024" width="8.88671875" style="392"/>
    <col min="1025" max="1025" width="38.44140625" style="392" customWidth="1"/>
    <col min="1026" max="1026" width="12.88671875" style="392" customWidth="1"/>
    <col min="1027" max="1106" width="7.6640625" style="392" customWidth="1"/>
    <col min="1107" max="1280" width="8.88671875" style="392"/>
    <col min="1281" max="1281" width="38.44140625" style="392" customWidth="1"/>
    <col min="1282" max="1282" width="12.88671875" style="392" customWidth="1"/>
    <col min="1283" max="1362" width="7.6640625" style="392" customWidth="1"/>
    <col min="1363" max="1536" width="8.88671875" style="392"/>
    <col min="1537" max="1537" width="38.44140625" style="392" customWidth="1"/>
    <col min="1538" max="1538" width="12.88671875" style="392" customWidth="1"/>
    <col min="1539" max="1618" width="7.6640625" style="392" customWidth="1"/>
    <col min="1619" max="1792" width="8.88671875" style="392"/>
    <col min="1793" max="1793" width="38.44140625" style="392" customWidth="1"/>
    <col min="1794" max="1794" width="12.88671875" style="392" customWidth="1"/>
    <col min="1795" max="1874" width="7.6640625" style="392" customWidth="1"/>
    <col min="1875" max="2048" width="8.88671875" style="392"/>
    <col min="2049" max="2049" width="38.44140625" style="392" customWidth="1"/>
    <col min="2050" max="2050" width="12.88671875" style="392" customWidth="1"/>
    <col min="2051" max="2130" width="7.6640625" style="392" customWidth="1"/>
    <col min="2131" max="2304" width="8.88671875" style="392"/>
    <col min="2305" max="2305" width="38.44140625" style="392" customWidth="1"/>
    <col min="2306" max="2306" width="12.88671875" style="392" customWidth="1"/>
    <col min="2307" max="2386" width="7.6640625" style="392" customWidth="1"/>
    <col min="2387" max="2560" width="8.88671875" style="392"/>
    <col min="2561" max="2561" width="38.44140625" style="392" customWidth="1"/>
    <col min="2562" max="2562" width="12.88671875" style="392" customWidth="1"/>
    <col min="2563" max="2642" width="7.6640625" style="392" customWidth="1"/>
    <col min="2643" max="2816" width="8.88671875" style="392"/>
    <col min="2817" max="2817" width="38.44140625" style="392" customWidth="1"/>
    <col min="2818" max="2818" width="12.88671875" style="392" customWidth="1"/>
    <col min="2819" max="2898" width="7.6640625" style="392" customWidth="1"/>
    <col min="2899" max="3072" width="8.88671875" style="392"/>
    <col min="3073" max="3073" width="38.44140625" style="392" customWidth="1"/>
    <col min="3074" max="3074" width="12.88671875" style="392" customWidth="1"/>
    <col min="3075" max="3154" width="7.6640625" style="392" customWidth="1"/>
    <col min="3155" max="3328" width="8.88671875" style="392"/>
    <col min="3329" max="3329" width="38.44140625" style="392" customWidth="1"/>
    <col min="3330" max="3330" width="12.88671875" style="392" customWidth="1"/>
    <col min="3331" max="3410" width="7.6640625" style="392" customWidth="1"/>
    <col min="3411" max="3584" width="8.88671875" style="392"/>
    <col min="3585" max="3585" width="38.44140625" style="392" customWidth="1"/>
    <col min="3586" max="3586" width="12.88671875" style="392" customWidth="1"/>
    <col min="3587" max="3666" width="7.6640625" style="392" customWidth="1"/>
    <col min="3667" max="3840" width="8.88671875" style="392"/>
    <col min="3841" max="3841" width="38.44140625" style="392" customWidth="1"/>
    <col min="3842" max="3842" width="12.88671875" style="392" customWidth="1"/>
    <col min="3843" max="3922" width="7.6640625" style="392" customWidth="1"/>
    <col min="3923" max="4096" width="8.88671875" style="392"/>
    <col min="4097" max="4097" width="38.44140625" style="392" customWidth="1"/>
    <col min="4098" max="4098" width="12.88671875" style="392" customWidth="1"/>
    <col min="4099" max="4178" width="7.6640625" style="392" customWidth="1"/>
    <col min="4179" max="4352" width="8.88671875" style="392"/>
    <col min="4353" max="4353" width="38.44140625" style="392" customWidth="1"/>
    <col min="4354" max="4354" width="12.88671875" style="392" customWidth="1"/>
    <col min="4355" max="4434" width="7.6640625" style="392" customWidth="1"/>
    <col min="4435" max="4608" width="8.88671875" style="392"/>
    <col min="4609" max="4609" width="38.44140625" style="392" customWidth="1"/>
    <col min="4610" max="4610" width="12.88671875" style="392" customWidth="1"/>
    <col min="4611" max="4690" width="7.6640625" style="392" customWidth="1"/>
    <col min="4691" max="4864" width="8.88671875" style="392"/>
    <col min="4865" max="4865" width="38.44140625" style="392" customWidth="1"/>
    <col min="4866" max="4866" width="12.88671875" style="392" customWidth="1"/>
    <col min="4867" max="4946" width="7.6640625" style="392" customWidth="1"/>
    <col min="4947" max="5120" width="8.88671875" style="392"/>
    <col min="5121" max="5121" width="38.44140625" style="392" customWidth="1"/>
    <col min="5122" max="5122" width="12.88671875" style="392" customWidth="1"/>
    <col min="5123" max="5202" width="7.6640625" style="392" customWidth="1"/>
    <col min="5203" max="5376" width="8.88671875" style="392"/>
    <col min="5377" max="5377" width="38.44140625" style="392" customWidth="1"/>
    <col min="5378" max="5378" width="12.88671875" style="392" customWidth="1"/>
    <col min="5379" max="5458" width="7.6640625" style="392" customWidth="1"/>
    <col min="5459" max="5632" width="8.88671875" style="392"/>
    <col min="5633" max="5633" width="38.44140625" style="392" customWidth="1"/>
    <col min="5634" max="5634" width="12.88671875" style="392" customWidth="1"/>
    <col min="5635" max="5714" width="7.6640625" style="392" customWidth="1"/>
    <col min="5715" max="5888" width="8.88671875" style="392"/>
    <col min="5889" max="5889" width="38.44140625" style="392" customWidth="1"/>
    <col min="5890" max="5890" width="12.88671875" style="392" customWidth="1"/>
    <col min="5891" max="5970" width="7.6640625" style="392" customWidth="1"/>
    <col min="5971" max="6144" width="8.88671875" style="392"/>
    <col min="6145" max="6145" width="38.44140625" style="392" customWidth="1"/>
    <col min="6146" max="6146" width="12.88671875" style="392" customWidth="1"/>
    <col min="6147" max="6226" width="7.6640625" style="392" customWidth="1"/>
    <col min="6227" max="6400" width="8.88671875" style="392"/>
    <col min="6401" max="6401" width="38.44140625" style="392" customWidth="1"/>
    <col min="6402" max="6402" width="12.88671875" style="392" customWidth="1"/>
    <col min="6403" max="6482" width="7.6640625" style="392" customWidth="1"/>
    <col min="6483" max="6656" width="8.88671875" style="392"/>
    <col min="6657" max="6657" width="38.44140625" style="392" customWidth="1"/>
    <col min="6658" max="6658" width="12.88671875" style="392" customWidth="1"/>
    <col min="6659" max="6738" width="7.6640625" style="392" customWidth="1"/>
    <col min="6739" max="6912" width="8.88671875" style="392"/>
    <col min="6913" max="6913" width="38.44140625" style="392" customWidth="1"/>
    <col min="6914" max="6914" width="12.88671875" style="392" customWidth="1"/>
    <col min="6915" max="6994" width="7.6640625" style="392" customWidth="1"/>
    <col min="6995" max="7168" width="8.88671875" style="392"/>
    <col min="7169" max="7169" width="38.44140625" style="392" customWidth="1"/>
    <col min="7170" max="7170" width="12.88671875" style="392" customWidth="1"/>
    <col min="7171" max="7250" width="7.6640625" style="392" customWidth="1"/>
    <col min="7251" max="7424" width="8.88671875" style="392"/>
    <col min="7425" max="7425" width="38.44140625" style="392" customWidth="1"/>
    <col min="7426" max="7426" width="12.88671875" style="392" customWidth="1"/>
    <col min="7427" max="7506" width="7.6640625" style="392" customWidth="1"/>
    <col min="7507" max="7680" width="8.88671875" style="392"/>
    <col min="7681" max="7681" width="38.44140625" style="392" customWidth="1"/>
    <col min="7682" max="7682" width="12.88671875" style="392" customWidth="1"/>
    <col min="7683" max="7762" width="7.6640625" style="392" customWidth="1"/>
    <col min="7763" max="7936" width="8.88671875" style="392"/>
    <col min="7937" max="7937" width="38.44140625" style="392" customWidth="1"/>
    <col min="7938" max="7938" width="12.88671875" style="392" customWidth="1"/>
    <col min="7939" max="8018" width="7.6640625" style="392" customWidth="1"/>
    <col min="8019" max="8192" width="8.88671875" style="392"/>
    <col min="8193" max="8193" width="38.44140625" style="392" customWidth="1"/>
    <col min="8194" max="8194" width="12.88671875" style="392" customWidth="1"/>
    <col min="8195" max="8274" width="7.6640625" style="392" customWidth="1"/>
    <col min="8275" max="8448" width="8.88671875" style="392"/>
    <col min="8449" max="8449" width="38.44140625" style="392" customWidth="1"/>
    <col min="8450" max="8450" width="12.88671875" style="392" customWidth="1"/>
    <col min="8451" max="8530" width="7.6640625" style="392" customWidth="1"/>
    <col min="8531" max="8704" width="8.88671875" style="392"/>
    <col min="8705" max="8705" width="38.44140625" style="392" customWidth="1"/>
    <col min="8706" max="8706" width="12.88671875" style="392" customWidth="1"/>
    <col min="8707" max="8786" width="7.6640625" style="392" customWidth="1"/>
    <col min="8787" max="8960" width="8.88671875" style="392"/>
    <col min="8961" max="8961" width="38.44140625" style="392" customWidth="1"/>
    <col min="8962" max="8962" width="12.88671875" style="392" customWidth="1"/>
    <col min="8963" max="9042" width="7.6640625" style="392" customWidth="1"/>
    <col min="9043" max="9216" width="8.88671875" style="392"/>
    <col min="9217" max="9217" width="38.44140625" style="392" customWidth="1"/>
    <col min="9218" max="9218" width="12.88671875" style="392" customWidth="1"/>
    <col min="9219" max="9298" width="7.6640625" style="392" customWidth="1"/>
    <col min="9299" max="9472" width="8.88671875" style="392"/>
    <col min="9473" max="9473" width="38.44140625" style="392" customWidth="1"/>
    <col min="9474" max="9474" width="12.88671875" style="392" customWidth="1"/>
    <col min="9475" max="9554" width="7.6640625" style="392" customWidth="1"/>
    <col min="9555" max="9728" width="8.88671875" style="392"/>
    <col min="9729" max="9729" width="38.44140625" style="392" customWidth="1"/>
    <col min="9730" max="9730" width="12.88671875" style="392" customWidth="1"/>
    <col min="9731" max="9810" width="7.6640625" style="392" customWidth="1"/>
    <col min="9811" max="9984" width="8.88671875" style="392"/>
    <col min="9985" max="9985" width="38.44140625" style="392" customWidth="1"/>
    <col min="9986" max="9986" width="12.88671875" style="392" customWidth="1"/>
    <col min="9987" max="10066" width="7.6640625" style="392" customWidth="1"/>
    <col min="10067" max="10240" width="8.88671875" style="392"/>
    <col min="10241" max="10241" width="38.44140625" style="392" customWidth="1"/>
    <col min="10242" max="10242" width="12.88671875" style="392" customWidth="1"/>
    <col min="10243" max="10322" width="7.6640625" style="392" customWidth="1"/>
    <col min="10323" max="10496" width="8.88671875" style="392"/>
    <col min="10497" max="10497" width="38.44140625" style="392" customWidth="1"/>
    <col min="10498" max="10498" width="12.88671875" style="392" customWidth="1"/>
    <col min="10499" max="10578" width="7.6640625" style="392" customWidth="1"/>
    <col min="10579" max="10752" width="8.88671875" style="392"/>
    <col min="10753" max="10753" width="38.44140625" style="392" customWidth="1"/>
    <col min="10754" max="10754" width="12.88671875" style="392" customWidth="1"/>
    <col min="10755" max="10834" width="7.6640625" style="392" customWidth="1"/>
    <col min="10835" max="11008" width="8.88671875" style="392"/>
    <col min="11009" max="11009" width="38.44140625" style="392" customWidth="1"/>
    <col min="11010" max="11010" width="12.88671875" style="392" customWidth="1"/>
    <col min="11011" max="11090" width="7.6640625" style="392" customWidth="1"/>
    <col min="11091" max="11264" width="8.88671875" style="392"/>
    <col min="11265" max="11265" width="38.44140625" style="392" customWidth="1"/>
    <col min="11266" max="11266" width="12.88671875" style="392" customWidth="1"/>
    <col min="11267" max="11346" width="7.6640625" style="392" customWidth="1"/>
    <col min="11347" max="11520" width="8.88671875" style="392"/>
    <col min="11521" max="11521" width="38.44140625" style="392" customWidth="1"/>
    <col min="11522" max="11522" width="12.88671875" style="392" customWidth="1"/>
    <col min="11523" max="11602" width="7.6640625" style="392" customWidth="1"/>
    <col min="11603" max="11776" width="8.88671875" style="392"/>
    <col min="11777" max="11777" width="38.44140625" style="392" customWidth="1"/>
    <col min="11778" max="11778" width="12.88671875" style="392" customWidth="1"/>
    <col min="11779" max="11858" width="7.6640625" style="392" customWidth="1"/>
    <col min="11859" max="12032" width="8.88671875" style="392"/>
    <col min="12033" max="12033" width="38.44140625" style="392" customWidth="1"/>
    <col min="12034" max="12034" width="12.88671875" style="392" customWidth="1"/>
    <col min="12035" max="12114" width="7.6640625" style="392" customWidth="1"/>
    <col min="12115" max="12288" width="8.88671875" style="392"/>
    <col min="12289" max="12289" width="38.44140625" style="392" customWidth="1"/>
    <col min="12290" max="12290" width="12.88671875" style="392" customWidth="1"/>
    <col min="12291" max="12370" width="7.6640625" style="392" customWidth="1"/>
    <col min="12371" max="12544" width="8.88671875" style="392"/>
    <col min="12545" max="12545" width="38.44140625" style="392" customWidth="1"/>
    <col min="12546" max="12546" width="12.88671875" style="392" customWidth="1"/>
    <col min="12547" max="12626" width="7.6640625" style="392" customWidth="1"/>
    <col min="12627" max="12800" width="8.88671875" style="392"/>
    <col min="12801" max="12801" width="38.44140625" style="392" customWidth="1"/>
    <col min="12802" max="12802" width="12.88671875" style="392" customWidth="1"/>
    <col min="12803" max="12882" width="7.6640625" style="392" customWidth="1"/>
    <col min="12883" max="13056" width="8.88671875" style="392"/>
    <col min="13057" max="13057" width="38.44140625" style="392" customWidth="1"/>
    <col min="13058" max="13058" width="12.88671875" style="392" customWidth="1"/>
    <col min="13059" max="13138" width="7.6640625" style="392" customWidth="1"/>
    <col min="13139" max="13312" width="8.88671875" style="392"/>
    <col min="13313" max="13313" width="38.44140625" style="392" customWidth="1"/>
    <col min="13314" max="13314" width="12.88671875" style="392" customWidth="1"/>
    <col min="13315" max="13394" width="7.6640625" style="392" customWidth="1"/>
    <col min="13395" max="13568" width="8.88671875" style="392"/>
    <col min="13569" max="13569" width="38.44140625" style="392" customWidth="1"/>
    <col min="13570" max="13570" width="12.88671875" style="392" customWidth="1"/>
    <col min="13571" max="13650" width="7.6640625" style="392" customWidth="1"/>
    <col min="13651" max="13824" width="8.88671875" style="392"/>
    <col min="13825" max="13825" width="38.44140625" style="392" customWidth="1"/>
    <col min="13826" max="13826" width="12.88671875" style="392" customWidth="1"/>
    <col min="13827" max="13906" width="7.6640625" style="392" customWidth="1"/>
    <col min="13907" max="14080" width="8.88671875" style="392"/>
    <col min="14081" max="14081" width="38.44140625" style="392" customWidth="1"/>
    <col min="14082" max="14082" width="12.88671875" style="392" customWidth="1"/>
    <col min="14083" max="14162" width="7.6640625" style="392" customWidth="1"/>
    <col min="14163" max="14336" width="8.88671875" style="392"/>
    <col min="14337" max="14337" width="38.44140625" style="392" customWidth="1"/>
    <col min="14338" max="14338" width="12.88671875" style="392" customWidth="1"/>
    <col min="14339" max="14418" width="7.6640625" style="392" customWidth="1"/>
    <col min="14419" max="14592" width="8.88671875" style="392"/>
    <col min="14593" max="14593" width="38.44140625" style="392" customWidth="1"/>
    <col min="14594" max="14594" width="12.88671875" style="392" customWidth="1"/>
    <col min="14595" max="14674" width="7.6640625" style="392" customWidth="1"/>
    <col min="14675" max="14848" width="8.88671875" style="392"/>
    <col min="14849" max="14849" width="38.44140625" style="392" customWidth="1"/>
    <col min="14850" max="14850" width="12.88671875" style="392" customWidth="1"/>
    <col min="14851" max="14930" width="7.6640625" style="392" customWidth="1"/>
    <col min="14931" max="15104" width="8.88671875" style="392"/>
    <col min="15105" max="15105" width="38.44140625" style="392" customWidth="1"/>
    <col min="15106" max="15106" width="12.88671875" style="392" customWidth="1"/>
    <col min="15107" max="15186" width="7.6640625" style="392" customWidth="1"/>
    <col min="15187" max="15360" width="8.88671875" style="392"/>
    <col min="15361" max="15361" width="38.44140625" style="392" customWidth="1"/>
    <col min="15362" max="15362" width="12.88671875" style="392" customWidth="1"/>
    <col min="15363" max="15442" width="7.6640625" style="392" customWidth="1"/>
    <col min="15443" max="15616" width="8.88671875" style="392"/>
    <col min="15617" max="15617" width="38.44140625" style="392" customWidth="1"/>
    <col min="15618" max="15618" width="12.88671875" style="392" customWidth="1"/>
    <col min="15619" max="15698" width="7.6640625" style="392" customWidth="1"/>
    <col min="15699" max="15872" width="8.88671875" style="392"/>
    <col min="15873" max="15873" width="38.44140625" style="392" customWidth="1"/>
    <col min="15874" max="15874" width="12.88671875" style="392" customWidth="1"/>
    <col min="15875" max="15954" width="7.6640625" style="392" customWidth="1"/>
    <col min="15955" max="16128" width="8.88671875" style="392"/>
    <col min="16129" max="16129" width="38.44140625" style="392" customWidth="1"/>
    <col min="16130" max="16130" width="12.88671875" style="392" customWidth="1"/>
    <col min="16131" max="16210" width="7.6640625" style="392" customWidth="1"/>
    <col min="16211" max="16384" width="8.88671875" style="392"/>
  </cols>
  <sheetData>
    <row r="1" spans="1:87" ht="17.399999999999999">
      <c r="A1" s="390" t="s">
        <v>103</v>
      </c>
      <c r="B1" s="391"/>
    </row>
    <row r="2" spans="1:87" ht="15.6">
      <c r="A2" s="393" t="s">
        <v>104</v>
      </c>
      <c r="B2" s="394"/>
    </row>
    <row r="3" spans="1:87" ht="14.4" thickBot="1">
      <c r="A3" s="395" t="s">
        <v>105</v>
      </c>
      <c r="B3" s="396"/>
    </row>
    <row r="6" spans="1:87">
      <c r="BM6" s="398" t="s">
        <v>106</v>
      </c>
      <c r="BN6" s="398" t="s">
        <v>106</v>
      </c>
      <c r="BO6" s="398" t="s">
        <v>106</v>
      </c>
      <c r="BP6" s="398" t="s">
        <v>106</v>
      </c>
      <c r="BQ6" s="399" t="s">
        <v>107</v>
      </c>
      <c r="BR6" s="399" t="s">
        <v>107</v>
      </c>
      <c r="BS6" s="399" t="s">
        <v>107</v>
      </c>
      <c r="BT6" s="399" t="s">
        <v>107</v>
      </c>
      <c r="BU6" s="400" t="s">
        <v>108</v>
      </c>
      <c r="BV6" s="400" t="s">
        <v>108</v>
      </c>
      <c r="BW6" s="400" t="s">
        <v>108</v>
      </c>
      <c r="BX6" s="400" t="s">
        <v>108</v>
      </c>
      <c r="BY6" s="401" t="s">
        <v>109</v>
      </c>
      <c r="BZ6" s="401" t="s">
        <v>109</v>
      </c>
      <c r="CA6" s="401" t="s">
        <v>109</v>
      </c>
      <c r="CB6" s="401" t="s">
        <v>109</v>
      </c>
    </row>
    <row r="7" spans="1:87" s="397" customFormat="1">
      <c r="B7" s="397" t="s">
        <v>110</v>
      </c>
      <c r="C7" s="402" t="s">
        <v>111</v>
      </c>
      <c r="D7" s="402" t="s">
        <v>112</v>
      </c>
      <c r="E7" s="402" t="s">
        <v>113</v>
      </c>
      <c r="F7" s="402" t="s">
        <v>114</v>
      </c>
      <c r="G7" s="402" t="s">
        <v>115</v>
      </c>
      <c r="H7" s="402" t="s">
        <v>116</v>
      </c>
      <c r="I7" s="402" t="s">
        <v>117</v>
      </c>
      <c r="J7" s="402" t="s">
        <v>118</v>
      </c>
      <c r="K7" s="402" t="s">
        <v>119</v>
      </c>
      <c r="L7" s="402" t="s">
        <v>120</v>
      </c>
      <c r="M7" s="402" t="s">
        <v>121</v>
      </c>
      <c r="N7" s="402" t="s">
        <v>122</v>
      </c>
      <c r="O7" s="402" t="s">
        <v>123</v>
      </c>
      <c r="P7" s="402" t="s">
        <v>124</v>
      </c>
      <c r="Q7" s="402" t="s">
        <v>125</v>
      </c>
      <c r="R7" s="402" t="s">
        <v>126</v>
      </c>
      <c r="S7" s="402" t="s">
        <v>127</v>
      </c>
      <c r="T7" s="402" t="s">
        <v>128</v>
      </c>
      <c r="U7" s="402" t="s">
        <v>129</v>
      </c>
      <c r="V7" s="402" t="s">
        <v>130</v>
      </c>
      <c r="W7" s="402" t="s">
        <v>131</v>
      </c>
      <c r="X7" s="402" t="s">
        <v>132</v>
      </c>
      <c r="Y7" s="402" t="s">
        <v>133</v>
      </c>
      <c r="Z7" s="402" t="s">
        <v>134</v>
      </c>
      <c r="AA7" s="402" t="s">
        <v>135</v>
      </c>
      <c r="AB7" s="402" t="s">
        <v>136</v>
      </c>
      <c r="AC7" s="402" t="s">
        <v>137</v>
      </c>
      <c r="AD7" s="402" t="s">
        <v>138</v>
      </c>
      <c r="AE7" s="402" t="s">
        <v>139</v>
      </c>
      <c r="AF7" s="402" t="s">
        <v>140</v>
      </c>
      <c r="AG7" s="402" t="s">
        <v>141</v>
      </c>
      <c r="AH7" s="402" t="s">
        <v>142</v>
      </c>
      <c r="AI7" s="402" t="s">
        <v>143</v>
      </c>
      <c r="AJ7" s="402" t="s">
        <v>144</v>
      </c>
      <c r="AK7" s="402" t="s">
        <v>145</v>
      </c>
      <c r="AL7" s="402" t="s">
        <v>146</v>
      </c>
      <c r="AM7" s="402" t="s">
        <v>147</v>
      </c>
      <c r="AN7" s="402" t="s">
        <v>148</v>
      </c>
      <c r="AO7" s="402" t="s">
        <v>149</v>
      </c>
      <c r="AP7" s="402" t="s">
        <v>150</v>
      </c>
      <c r="AQ7" s="402" t="s">
        <v>151</v>
      </c>
      <c r="AR7" s="402" t="s">
        <v>152</v>
      </c>
      <c r="AS7" s="402" t="s">
        <v>153</v>
      </c>
      <c r="AT7" s="402" t="s">
        <v>154</v>
      </c>
      <c r="AU7" s="397" t="s">
        <v>155</v>
      </c>
      <c r="AV7" s="397" t="s">
        <v>156</v>
      </c>
      <c r="AW7" s="397" t="s">
        <v>157</v>
      </c>
      <c r="AX7" s="397" t="s">
        <v>158</v>
      </c>
      <c r="AY7" s="397" t="s">
        <v>159</v>
      </c>
      <c r="AZ7" s="397" t="s">
        <v>160</v>
      </c>
      <c r="BA7" s="397" t="s">
        <v>161</v>
      </c>
      <c r="BB7" s="397" t="s">
        <v>162</v>
      </c>
      <c r="BC7" s="397" t="s">
        <v>163</v>
      </c>
      <c r="BD7" s="397" t="s">
        <v>164</v>
      </c>
      <c r="BE7" s="397" t="s">
        <v>165</v>
      </c>
      <c r="BF7" s="397" t="s">
        <v>166</v>
      </c>
      <c r="BG7" s="397" t="s">
        <v>167</v>
      </c>
      <c r="BH7" s="397" t="s">
        <v>168</v>
      </c>
      <c r="BI7" s="397" t="s">
        <v>169</v>
      </c>
      <c r="BJ7" s="397" t="s">
        <v>170</v>
      </c>
      <c r="BK7" s="397" t="s">
        <v>171</v>
      </c>
      <c r="BL7" s="397" t="s">
        <v>172</v>
      </c>
      <c r="BM7" s="397" t="s">
        <v>173</v>
      </c>
      <c r="BN7" s="397" t="s">
        <v>174</v>
      </c>
      <c r="BO7" s="397" t="s">
        <v>175</v>
      </c>
      <c r="BP7" s="397" t="s">
        <v>176</v>
      </c>
      <c r="BQ7" s="397" t="s">
        <v>177</v>
      </c>
      <c r="BR7" s="397" t="s">
        <v>178</v>
      </c>
      <c r="BS7" s="397" t="s">
        <v>179</v>
      </c>
      <c r="BT7" s="397" t="s">
        <v>180</v>
      </c>
      <c r="BU7" s="397" t="s">
        <v>181</v>
      </c>
      <c r="BV7" s="397" t="s">
        <v>182</v>
      </c>
      <c r="BW7" s="397" t="s">
        <v>183</v>
      </c>
      <c r="BX7" s="397" t="s">
        <v>184</v>
      </c>
      <c r="BY7" s="397" t="s">
        <v>185</v>
      </c>
      <c r="BZ7" s="397" t="s">
        <v>186</v>
      </c>
      <c r="CA7" s="397" t="s">
        <v>187</v>
      </c>
      <c r="CB7" s="397" t="s">
        <v>188</v>
      </c>
      <c r="CC7" s="397" t="s">
        <v>189</v>
      </c>
      <c r="CD7" s="397" t="s">
        <v>190</v>
      </c>
      <c r="CE7" s="397" t="s">
        <v>191</v>
      </c>
      <c r="CF7" s="397" t="s">
        <v>192</v>
      </c>
      <c r="CG7" s="397" t="s">
        <v>193</v>
      </c>
      <c r="CH7" s="397" t="s">
        <v>194</v>
      </c>
      <c r="CI7" s="397" t="s">
        <v>195</v>
      </c>
    </row>
    <row r="8" spans="1:87" ht="13.8" thickBot="1">
      <c r="A8" s="397" t="s">
        <v>196</v>
      </c>
      <c r="B8" s="397" t="s">
        <v>197</v>
      </c>
      <c r="C8" s="403">
        <v>2.0343964480826999</v>
      </c>
      <c r="D8" s="403">
        <v>2.05943632395637</v>
      </c>
      <c r="E8" s="403">
        <v>2.0644664349199</v>
      </c>
      <c r="F8" s="403">
        <v>2.0865413060551998</v>
      </c>
      <c r="G8" s="403">
        <v>2.1041383265898301</v>
      </c>
      <c r="H8" s="403">
        <v>2.1144127778695201</v>
      </c>
      <c r="I8" s="403">
        <v>2.1507704710507598</v>
      </c>
      <c r="J8" s="403">
        <v>2.1697119451171401</v>
      </c>
      <c r="K8" s="403">
        <v>2.18694695083656</v>
      </c>
      <c r="L8" s="403">
        <v>2.2122122749579498</v>
      </c>
      <c r="M8" s="403">
        <v>2.23480678878395</v>
      </c>
      <c r="N8" s="403">
        <v>2.2202677130356299</v>
      </c>
      <c r="O8" s="403">
        <v>2.23175261179881</v>
      </c>
      <c r="P8" s="403">
        <v>2.2580164013091002</v>
      </c>
      <c r="Q8" s="403">
        <v>2.2753709772035502</v>
      </c>
      <c r="R8" s="403">
        <v>2.30194291888919</v>
      </c>
      <c r="S8" s="403">
        <v>2.3192533891099099</v>
      </c>
      <c r="T8" s="403">
        <v>2.3629433902934598</v>
      </c>
      <c r="U8" s="403">
        <v>2.4039288645996799</v>
      </c>
      <c r="V8" s="403">
        <v>2.3508177475344398</v>
      </c>
      <c r="W8" s="403">
        <v>2.3395569969345802</v>
      </c>
      <c r="X8" s="403">
        <v>2.34609570313232</v>
      </c>
      <c r="Y8" s="403">
        <v>2.3657863595331099</v>
      </c>
      <c r="Z8" s="403">
        <v>2.3805218237276899</v>
      </c>
      <c r="AA8" s="403">
        <v>2.3783358335942402</v>
      </c>
      <c r="AB8" s="403">
        <v>2.3830414859475502</v>
      </c>
      <c r="AC8" s="403">
        <v>2.3975323184108199</v>
      </c>
      <c r="AD8" s="403">
        <v>2.4214524193269198</v>
      </c>
      <c r="AE8" s="403">
        <v>2.4313760255508901</v>
      </c>
      <c r="AF8" s="403">
        <v>2.4766460484572002</v>
      </c>
      <c r="AG8" s="403">
        <v>2.4881988275326701</v>
      </c>
      <c r="AH8" s="403">
        <v>2.4967467306687299</v>
      </c>
      <c r="AI8" s="403">
        <v>2.5126682010265902</v>
      </c>
      <c r="AJ8" s="403">
        <v>2.5190165748075999</v>
      </c>
      <c r="AK8" s="403">
        <v>2.52926548445051</v>
      </c>
      <c r="AL8" s="403">
        <v>2.5498254535670202</v>
      </c>
      <c r="AM8" s="403">
        <v>2.5565788634062199</v>
      </c>
      <c r="AN8" s="403">
        <v>2.5541938570175202</v>
      </c>
      <c r="AO8" s="403">
        <v>2.5733736468802801</v>
      </c>
      <c r="AP8" s="403">
        <v>2.5879825683785702</v>
      </c>
      <c r="AQ8" s="403">
        <v>2.5968750678528201</v>
      </c>
      <c r="AR8" s="403">
        <v>2.60749339976029</v>
      </c>
      <c r="AS8" s="403">
        <v>2.61387953217735</v>
      </c>
      <c r="AT8" s="403">
        <v>2.6160583623265499</v>
      </c>
      <c r="AU8" s="392">
        <v>2.61118766519375</v>
      </c>
      <c r="AV8" s="392">
        <v>2.6220108220798601</v>
      </c>
      <c r="AW8" s="392">
        <v>2.6188417055922</v>
      </c>
      <c r="AX8" s="392">
        <v>2.6260990473395398</v>
      </c>
      <c r="AY8" s="392">
        <v>2.6201146582822998</v>
      </c>
      <c r="AZ8" s="392">
        <v>2.6412696718547601</v>
      </c>
      <c r="BA8" s="392">
        <v>2.6622794798761902</v>
      </c>
      <c r="BB8" s="392">
        <v>2.6769828092859602</v>
      </c>
      <c r="BC8" s="392">
        <v>2.69301979781623</v>
      </c>
      <c r="BD8" s="392">
        <v>2.6949351579636902</v>
      </c>
      <c r="BE8" s="392">
        <v>2.7072510455133001</v>
      </c>
      <c r="BF8" s="392">
        <v>2.7194666205217501</v>
      </c>
      <c r="BG8" s="392">
        <v>2.7583872583557998</v>
      </c>
      <c r="BH8" s="392">
        <v>2.7712174411052799</v>
      </c>
      <c r="BI8" s="392">
        <v>2.7767772539950299</v>
      </c>
      <c r="BJ8" s="392">
        <v>2.7900362938944698</v>
      </c>
      <c r="BK8" s="392">
        <v>2.79504989885013</v>
      </c>
      <c r="BL8" s="392">
        <v>2.8124753429938698</v>
      </c>
      <c r="BM8" s="392">
        <v>2.8258429652208199</v>
      </c>
      <c r="BN8" s="392">
        <v>2.84827109602332</v>
      </c>
      <c r="BO8" s="392">
        <v>2.8648096227990201</v>
      </c>
      <c r="BP8" s="392">
        <v>2.87366388911181</v>
      </c>
      <c r="BQ8" s="392">
        <v>2.8888357489521002</v>
      </c>
      <c r="BR8" s="392">
        <v>2.8975460997816902</v>
      </c>
      <c r="BS8" s="392">
        <v>2.9097169947994401</v>
      </c>
      <c r="BT8" s="392">
        <v>2.9296333194362298</v>
      </c>
      <c r="BU8" s="392">
        <v>2.94689616214067</v>
      </c>
      <c r="BV8" s="392">
        <v>2.9583483780456699</v>
      </c>
      <c r="BW8" s="392">
        <v>2.9813259042976701</v>
      </c>
      <c r="BX8" s="392">
        <v>3.0046912726057902</v>
      </c>
      <c r="BY8" s="392">
        <v>3.0255581522131298</v>
      </c>
      <c r="BZ8" s="392">
        <v>3.04587440346724</v>
      </c>
      <c r="CA8" s="392">
        <v>3.0658590818670399</v>
      </c>
      <c r="CB8" s="392">
        <v>3.0832941540272398</v>
      </c>
      <c r="CC8" s="392">
        <v>3.1029951080744298</v>
      </c>
      <c r="CD8" s="392">
        <v>3.1221931367125899</v>
      </c>
      <c r="CE8" s="392">
        <v>3.1400314557673501</v>
      </c>
      <c r="CF8" s="392">
        <v>3.1597078634776099</v>
      </c>
      <c r="CG8" s="392">
        <v>3.1784171022252501</v>
      </c>
      <c r="CH8" s="392">
        <v>3.1965028368224302</v>
      </c>
    </row>
    <row r="9" spans="1:87" ht="13.8" thickBot="1">
      <c r="A9" s="397" t="s">
        <v>198</v>
      </c>
      <c r="B9" s="397" t="s">
        <v>199</v>
      </c>
      <c r="C9" s="403">
        <v>2.0343964480826999</v>
      </c>
      <c r="D9" s="403">
        <v>2.05943632395637</v>
      </c>
      <c r="E9" s="403">
        <v>2.0644664349199</v>
      </c>
      <c r="F9" s="403">
        <v>2.0865413060551998</v>
      </c>
      <c r="G9" s="403">
        <v>2.1041383265898301</v>
      </c>
      <c r="H9" s="403">
        <v>2.1144127778695201</v>
      </c>
      <c r="I9" s="403">
        <v>2.1507704710507598</v>
      </c>
      <c r="J9" s="403">
        <v>2.1697119451171401</v>
      </c>
      <c r="K9" s="403">
        <v>2.18694695083656</v>
      </c>
      <c r="L9" s="403">
        <v>2.2122122749579498</v>
      </c>
      <c r="M9" s="403">
        <v>2.23480678878395</v>
      </c>
      <c r="N9" s="403">
        <v>2.2202677130356299</v>
      </c>
      <c r="O9" s="403">
        <v>2.23175261179881</v>
      </c>
      <c r="P9" s="403">
        <v>2.2580164013091002</v>
      </c>
      <c r="Q9" s="403">
        <v>2.2753709772035502</v>
      </c>
      <c r="R9" s="403">
        <v>2.30194291888919</v>
      </c>
      <c r="S9" s="403">
        <v>2.3192533891099099</v>
      </c>
      <c r="T9" s="403">
        <v>2.3629433902934598</v>
      </c>
      <c r="U9" s="403">
        <v>2.4039288645996799</v>
      </c>
      <c r="V9" s="403">
        <v>2.3508177475344398</v>
      </c>
      <c r="W9" s="403">
        <v>2.3395569969345802</v>
      </c>
      <c r="X9" s="403">
        <v>2.34609570313232</v>
      </c>
      <c r="Y9" s="403">
        <v>2.3657863595331099</v>
      </c>
      <c r="Z9" s="403">
        <v>2.3805218237276899</v>
      </c>
      <c r="AA9" s="403">
        <v>2.3783358335942402</v>
      </c>
      <c r="AB9" s="403">
        <v>2.3830414859475502</v>
      </c>
      <c r="AC9" s="403">
        <v>2.3975323184108199</v>
      </c>
      <c r="AD9" s="403">
        <v>2.4214524193269198</v>
      </c>
      <c r="AE9" s="403">
        <v>2.4313760255508901</v>
      </c>
      <c r="AF9" s="403">
        <v>2.4766460484572002</v>
      </c>
      <c r="AG9" s="403">
        <v>2.4881988275326701</v>
      </c>
      <c r="AH9" s="403">
        <v>2.4967467306687299</v>
      </c>
      <c r="AI9" s="403">
        <v>2.5126682010265902</v>
      </c>
      <c r="AJ9" s="403">
        <v>2.5190165748075999</v>
      </c>
      <c r="AK9" s="403">
        <v>2.52926548445051</v>
      </c>
      <c r="AL9" s="403">
        <v>2.5498254535670202</v>
      </c>
      <c r="AM9" s="403">
        <v>2.5565788634062199</v>
      </c>
      <c r="AN9" s="403">
        <v>2.5541938570175202</v>
      </c>
      <c r="AO9" s="403">
        <v>2.5733736468802801</v>
      </c>
      <c r="AP9" s="403">
        <v>2.5879825683785702</v>
      </c>
      <c r="AQ9" s="403">
        <v>2.5968750678528201</v>
      </c>
      <c r="AR9" s="403">
        <v>2.60749339976029</v>
      </c>
      <c r="AS9" s="403">
        <v>2.61387953217735</v>
      </c>
      <c r="AT9" s="403">
        <v>2.6160583623265499</v>
      </c>
      <c r="AU9" s="392">
        <v>2.61118766519375</v>
      </c>
      <c r="AV9" s="392">
        <v>2.6220108220798601</v>
      </c>
      <c r="AW9" s="392">
        <v>2.6188417055922</v>
      </c>
      <c r="AX9" s="392">
        <v>2.6260990473395398</v>
      </c>
      <c r="AY9" s="392">
        <v>2.6201146582822998</v>
      </c>
      <c r="AZ9" s="392">
        <v>2.6412696718547601</v>
      </c>
      <c r="BA9" s="392">
        <v>2.6622794798761902</v>
      </c>
      <c r="BB9" s="392">
        <v>2.6769828092859602</v>
      </c>
      <c r="BC9" s="392">
        <v>2.69301979781623</v>
      </c>
      <c r="BD9" s="392">
        <v>2.6949351579636902</v>
      </c>
      <c r="BE9" s="392">
        <v>2.7072510455133001</v>
      </c>
      <c r="BF9" s="392">
        <v>2.7194666205217501</v>
      </c>
      <c r="BG9" s="392">
        <v>2.7583872583557998</v>
      </c>
      <c r="BH9" s="392">
        <v>2.7712174411052799</v>
      </c>
      <c r="BI9" s="392">
        <v>2.7767772539950299</v>
      </c>
      <c r="BJ9" s="392">
        <v>2.7900362938944698</v>
      </c>
      <c r="BK9" s="392">
        <v>2.79504989885013</v>
      </c>
      <c r="BL9" s="392">
        <v>2.8124753429938698</v>
      </c>
      <c r="BM9" s="392">
        <v>2.8258429652208199</v>
      </c>
      <c r="BN9" s="392">
        <v>2.84582069929911</v>
      </c>
      <c r="BO9" s="392">
        <v>2.86055636092141</v>
      </c>
      <c r="BP9" s="404">
        <v>2.86714152292299</v>
      </c>
      <c r="BQ9" s="405">
        <v>2.87979046783079</v>
      </c>
      <c r="BR9" s="406">
        <v>2.8862359962744399</v>
      </c>
      <c r="BS9" s="406">
        <v>2.8952255447313102</v>
      </c>
      <c r="BT9" s="406">
        <v>2.9114792295702099</v>
      </c>
      <c r="BU9" s="406">
        <v>2.92478764045907</v>
      </c>
      <c r="BV9" s="406">
        <v>2.9313520578905301</v>
      </c>
      <c r="BW9" s="406">
        <v>2.9488666202170299</v>
      </c>
      <c r="BX9" s="407">
        <v>2.9672225449874401</v>
      </c>
      <c r="BY9" s="392">
        <v>2.9827762298190601</v>
      </c>
      <c r="BZ9" s="392">
        <v>2.9973649977235501</v>
      </c>
      <c r="CA9" s="392">
        <v>3.01160898598325</v>
      </c>
      <c r="CB9" s="392">
        <v>3.0243751954104701</v>
      </c>
      <c r="CC9" s="392">
        <v>3.0393168799481201</v>
      </c>
      <c r="CD9" s="392">
        <v>3.0546372008786999</v>
      </c>
      <c r="CE9" s="392">
        <v>3.0677758980614298</v>
      </c>
      <c r="CF9" s="392">
        <v>3.08286200226184</v>
      </c>
      <c r="CG9" s="392">
        <v>3.09713585293321</v>
      </c>
      <c r="CH9" s="392">
        <v>3.1105686621575002</v>
      </c>
    </row>
    <row r="10" spans="1:87">
      <c r="A10" s="397" t="s">
        <v>200</v>
      </c>
      <c r="B10" s="397" t="s">
        <v>201</v>
      </c>
      <c r="C10" s="403">
        <v>2.0343964480826999</v>
      </c>
      <c r="D10" s="403">
        <v>2.05943632395637</v>
      </c>
      <c r="E10" s="403">
        <v>2.0644664349199</v>
      </c>
      <c r="F10" s="403">
        <v>2.0865413060551998</v>
      </c>
      <c r="G10" s="403">
        <v>2.1041383265898301</v>
      </c>
      <c r="H10" s="403">
        <v>2.1144127778695201</v>
      </c>
      <c r="I10" s="403">
        <v>2.1507704710507598</v>
      </c>
      <c r="J10" s="403">
        <v>2.1697119451171401</v>
      </c>
      <c r="K10" s="403">
        <v>2.18694695083656</v>
      </c>
      <c r="L10" s="403">
        <v>2.2122122749579498</v>
      </c>
      <c r="M10" s="403">
        <v>2.23480678878395</v>
      </c>
      <c r="N10" s="403">
        <v>2.2202677130356299</v>
      </c>
      <c r="O10" s="403">
        <v>2.23175261179881</v>
      </c>
      <c r="P10" s="403">
        <v>2.2580164013091002</v>
      </c>
      <c r="Q10" s="403">
        <v>2.2753709772035502</v>
      </c>
      <c r="R10" s="403">
        <v>2.30194291888919</v>
      </c>
      <c r="S10" s="403">
        <v>2.3192533891099099</v>
      </c>
      <c r="T10" s="403">
        <v>2.3629433902934598</v>
      </c>
      <c r="U10" s="403">
        <v>2.4039288645996799</v>
      </c>
      <c r="V10" s="403">
        <v>2.3508177475344398</v>
      </c>
      <c r="W10" s="403">
        <v>2.3395569969345802</v>
      </c>
      <c r="X10" s="403">
        <v>2.34609570313232</v>
      </c>
      <c r="Y10" s="403">
        <v>2.3657863595331099</v>
      </c>
      <c r="Z10" s="403">
        <v>2.3805218237276899</v>
      </c>
      <c r="AA10" s="403">
        <v>2.3783358335942402</v>
      </c>
      <c r="AB10" s="403">
        <v>2.3830414859475502</v>
      </c>
      <c r="AC10" s="403">
        <v>2.3975323184108199</v>
      </c>
      <c r="AD10" s="403">
        <v>2.4214524193269198</v>
      </c>
      <c r="AE10" s="403">
        <v>2.4313760255508901</v>
      </c>
      <c r="AF10" s="403">
        <v>2.4766460484572002</v>
      </c>
      <c r="AG10" s="403">
        <v>2.4881988275326701</v>
      </c>
      <c r="AH10" s="403">
        <v>2.4967467306687299</v>
      </c>
      <c r="AI10" s="403">
        <v>2.5126682010265902</v>
      </c>
      <c r="AJ10" s="403">
        <v>2.5190165748075999</v>
      </c>
      <c r="AK10" s="403">
        <v>2.52926548445051</v>
      </c>
      <c r="AL10" s="403">
        <v>2.5498254535670202</v>
      </c>
      <c r="AM10" s="403">
        <v>2.5565788634062199</v>
      </c>
      <c r="AN10" s="403">
        <v>2.5541938570175202</v>
      </c>
      <c r="AO10" s="403">
        <v>2.5733736468802801</v>
      </c>
      <c r="AP10" s="403">
        <v>2.5879825683785702</v>
      </c>
      <c r="AQ10" s="403">
        <v>2.5968750678528201</v>
      </c>
      <c r="AR10" s="403">
        <v>2.60749339976029</v>
      </c>
      <c r="AS10" s="403">
        <v>2.61387953217735</v>
      </c>
      <c r="AT10" s="403">
        <v>2.6160583623265499</v>
      </c>
      <c r="AU10" s="392">
        <v>2.61118766519375</v>
      </c>
      <c r="AV10" s="392">
        <v>2.6220108220798601</v>
      </c>
      <c r="AW10" s="392">
        <v>2.6188417055922</v>
      </c>
      <c r="AX10" s="392">
        <v>2.6260990473395398</v>
      </c>
      <c r="AY10" s="392">
        <v>2.6201146582822998</v>
      </c>
      <c r="AZ10" s="392">
        <v>2.6412696718547601</v>
      </c>
      <c r="BA10" s="392">
        <v>2.6622794798761902</v>
      </c>
      <c r="BB10" s="392">
        <v>2.6769828092859602</v>
      </c>
      <c r="BC10" s="392">
        <v>2.69301979781623</v>
      </c>
      <c r="BD10" s="392">
        <v>2.6949351579636902</v>
      </c>
      <c r="BE10" s="392">
        <v>2.7072510455133001</v>
      </c>
      <c r="BF10" s="392">
        <v>2.7194666205217501</v>
      </c>
      <c r="BG10" s="392">
        <v>2.7583872583557998</v>
      </c>
      <c r="BH10" s="392">
        <v>2.7712174411052799</v>
      </c>
      <c r="BI10" s="392">
        <v>2.7767772539950299</v>
      </c>
      <c r="BJ10" s="392">
        <v>2.7900362938944698</v>
      </c>
      <c r="BK10" s="392">
        <v>2.79504989885013</v>
      </c>
      <c r="BL10" s="392">
        <v>2.8124753429938698</v>
      </c>
      <c r="BM10" s="392">
        <v>2.8258429652208199</v>
      </c>
      <c r="BN10" s="392">
        <v>2.8508726138222098</v>
      </c>
      <c r="BO10" s="392">
        <v>2.8707703287451301</v>
      </c>
      <c r="BP10" s="392">
        <v>2.8838742724040798</v>
      </c>
      <c r="BQ10" s="392">
        <v>2.9041973957490499</v>
      </c>
      <c r="BR10" s="392">
        <v>2.9181801842111201</v>
      </c>
      <c r="BS10" s="392">
        <v>2.9363927339244902</v>
      </c>
      <c r="BT10" s="392">
        <v>2.96289077167628</v>
      </c>
      <c r="BU10" s="392">
        <v>2.9870211065969401</v>
      </c>
      <c r="BV10" s="392">
        <v>3.0057565286188099</v>
      </c>
      <c r="BW10" s="392">
        <v>3.0365761747820499</v>
      </c>
      <c r="BX10" s="392">
        <v>3.0681959808882899</v>
      </c>
      <c r="BY10" s="392">
        <v>3.0977145098143102</v>
      </c>
      <c r="BZ10" s="392">
        <v>3.1270435262635901</v>
      </c>
      <c r="CA10" s="392">
        <v>3.1563342945986901</v>
      </c>
      <c r="CB10" s="392">
        <v>3.1831997293388401</v>
      </c>
      <c r="CC10" s="392">
        <v>3.2125565050276701</v>
      </c>
      <c r="CD10" s="392">
        <v>3.2415902186312202</v>
      </c>
      <c r="CE10" s="392">
        <v>3.2694429238234299</v>
      </c>
      <c r="CF10" s="392">
        <v>3.2994498764972602</v>
      </c>
      <c r="CG10" s="392">
        <v>3.3287005383778001</v>
      </c>
      <c r="CH10" s="392">
        <v>3.3574479886706499</v>
      </c>
    </row>
    <row r="12" spans="1:87"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  <c r="T12" s="408"/>
      <c r="U12" s="408"/>
      <c r="V12" s="408"/>
      <c r="W12" s="408"/>
      <c r="X12" s="408"/>
      <c r="Y12" s="408"/>
      <c r="Z12" s="408"/>
      <c r="AA12" s="408"/>
      <c r="AB12" s="408"/>
      <c r="AC12" s="408"/>
      <c r="AD12" s="408"/>
      <c r="AE12" s="408"/>
      <c r="AF12" s="408"/>
      <c r="AG12" s="408"/>
      <c r="AH12" s="408"/>
      <c r="AI12" s="408"/>
      <c r="AJ12" s="408"/>
      <c r="AK12" s="408"/>
      <c r="AL12" s="408"/>
      <c r="AM12" s="408"/>
      <c r="AN12" s="408"/>
      <c r="AO12" s="408"/>
      <c r="AP12" s="408"/>
      <c r="AQ12" s="408"/>
      <c r="AR12" s="408"/>
      <c r="AS12" s="408"/>
      <c r="AT12" s="408"/>
    </row>
    <row r="13" spans="1:87"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  <c r="U13" s="408"/>
      <c r="V13" s="408"/>
      <c r="W13" s="408"/>
      <c r="X13" s="408"/>
      <c r="Y13" s="408"/>
      <c r="Z13" s="408"/>
      <c r="AA13" s="408"/>
      <c r="AB13" s="408"/>
      <c r="AC13" s="408"/>
      <c r="AD13" s="408"/>
      <c r="AE13" s="408"/>
      <c r="AF13" s="408"/>
      <c r="AG13" s="408"/>
      <c r="AH13" s="408"/>
      <c r="AI13" s="408"/>
      <c r="AJ13" s="408"/>
      <c r="AK13" s="408"/>
      <c r="AL13" s="408"/>
      <c r="AM13" s="408"/>
      <c r="AN13" s="408"/>
      <c r="AO13" s="408"/>
      <c r="AP13" s="408"/>
      <c r="AQ13" s="408"/>
      <c r="AR13" s="408"/>
      <c r="AS13" s="408"/>
      <c r="AT13" s="408"/>
    </row>
    <row r="15" spans="1:87">
      <c r="BM15" s="409"/>
      <c r="BN15" s="409"/>
      <c r="BO15" s="410" t="s">
        <v>202</v>
      </c>
      <c r="BP15" s="411"/>
      <c r="BQ15" s="411"/>
      <c r="BR15" s="412" t="s">
        <v>203</v>
      </c>
      <c r="BS15" s="413"/>
      <c r="BT15" s="413"/>
      <c r="BU15" s="413"/>
      <c r="BV15" s="413"/>
      <c r="BW15" s="413"/>
      <c r="BX15" s="411"/>
      <c r="BY15" s="411"/>
      <c r="BZ15" s="411"/>
    </row>
    <row r="16" spans="1:87">
      <c r="BO16" s="414"/>
      <c r="BP16" s="415"/>
      <c r="BQ16" s="415"/>
      <c r="BR16" s="415"/>
      <c r="BS16" s="415"/>
      <c r="BT16" s="415"/>
      <c r="BU16" s="415"/>
      <c r="BV16" s="415"/>
      <c r="BW16" s="415"/>
      <c r="BX16" s="415"/>
      <c r="BY16" s="415"/>
      <c r="BZ16" s="416"/>
    </row>
    <row r="17" spans="67:78">
      <c r="BO17" s="417"/>
      <c r="BP17" s="418" t="s">
        <v>204</v>
      </c>
      <c r="BQ17" s="419" t="s">
        <v>205</v>
      </c>
      <c r="BR17" s="419"/>
      <c r="BS17" s="419"/>
      <c r="BT17" s="419"/>
      <c r="BU17" s="419"/>
      <c r="BV17" s="419"/>
      <c r="BW17" s="419"/>
      <c r="BX17" s="419"/>
      <c r="BY17" s="419"/>
      <c r="BZ17" s="420"/>
    </row>
    <row r="18" spans="67:78">
      <c r="BO18" s="417"/>
      <c r="BP18" s="419"/>
      <c r="BQ18" s="402" t="str">
        <f>BP7</f>
        <v>2020Q2</v>
      </c>
      <c r="BR18" s="419"/>
      <c r="BS18" s="419"/>
      <c r="BT18" s="419"/>
      <c r="BU18" s="419"/>
      <c r="BV18" s="419"/>
      <c r="BW18" s="419"/>
      <c r="BX18" s="419"/>
      <c r="BY18" s="419"/>
      <c r="BZ18" s="421" t="s">
        <v>206</v>
      </c>
    </row>
    <row r="19" spans="67:78">
      <c r="BO19" s="417"/>
      <c r="BP19" s="419"/>
      <c r="BQ19" s="422">
        <f>BP9</f>
        <v>2.86714152292299</v>
      </c>
      <c r="BR19" s="423"/>
      <c r="BS19" s="419"/>
      <c r="BT19" s="419"/>
      <c r="BU19" s="419"/>
      <c r="BV19" s="419"/>
      <c r="BW19" s="419"/>
      <c r="BX19" s="419"/>
      <c r="BY19" s="419"/>
      <c r="BZ19" s="424">
        <f>BQ19</f>
        <v>2.86714152292299</v>
      </c>
    </row>
    <row r="20" spans="67:78">
      <c r="BO20" s="417"/>
      <c r="BP20" s="419"/>
      <c r="BQ20" s="419"/>
      <c r="BR20" s="419"/>
      <c r="BS20" s="419"/>
      <c r="BT20" s="419"/>
      <c r="BU20" s="419"/>
      <c r="BV20" s="419"/>
      <c r="BW20" s="419"/>
      <c r="BX20" s="419"/>
      <c r="BY20" s="419"/>
      <c r="BZ20" s="425"/>
    </row>
    <row r="21" spans="67:78">
      <c r="BO21" s="426" t="s">
        <v>207</v>
      </c>
      <c r="BP21" s="427"/>
      <c r="BQ21" s="427"/>
      <c r="BR21" s="419" t="s">
        <v>208</v>
      </c>
      <c r="BS21" s="419"/>
      <c r="BT21" s="419"/>
      <c r="BU21" s="419"/>
      <c r="BV21" s="419"/>
      <c r="BW21" s="419"/>
      <c r="BX21" s="419"/>
      <c r="BY21" s="419"/>
      <c r="BZ21" s="425"/>
    </row>
    <row r="22" spans="67:78">
      <c r="BO22" s="417"/>
      <c r="BP22" s="419"/>
      <c r="BQ22" s="397" t="str">
        <f>BQ7</f>
        <v>2020Q3</v>
      </c>
      <c r="BR22" s="397" t="str">
        <f t="shared" ref="BR22:BX22" si="0">BR7</f>
        <v>2020Q4</v>
      </c>
      <c r="BS22" s="397" t="str">
        <f t="shared" si="0"/>
        <v>2021Q1</v>
      </c>
      <c r="BT22" s="397" t="str">
        <f t="shared" si="0"/>
        <v>2021Q2</v>
      </c>
      <c r="BU22" s="397" t="str">
        <f t="shared" si="0"/>
        <v>2021Q3</v>
      </c>
      <c r="BV22" s="397" t="str">
        <f t="shared" si="0"/>
        <v>2021Q4</v>
      </c>
      <c r="BW22" s="397" t="str">
        <f t="shared" si="0"/>
        <v>2022Q1</v>
      </c>
      <c r="BX22" s="397" t="str">
        <f t="shared" si="0"/>
        <v>2022Q2</v>
      </c>
      <c r="BY22" s="419"/>
      <c r="BZ22" s="425"/>
    </row>
    <row r="23" spans="67:78">
      <c r="BO23" s="417"/>
      <c r="BP23" s="419"/>
      <c r="BQ23" s="403">
        <f>BQ9</f>
        <v>2.87979046783079</v>
      </c>
      <c r="BR23" s="403">
        <f t="shared" ref="BR23:BX23" si="1">BR9</f>
        <v>2.8862359962744399</v>
      </c>
      <c r="BS23" s="403">
        <f t="shared" si="1"/>
        <v>2.8952255447313102</v>
      </c>
      <c r="BT23" s="403">
        <f t="shared" si="1"/>
        <v>2.9114792295702099</v>
      </c>
      <c r="BU23" s="403">
        <f t="shared" si="1"/>
        <v>2.92478764045907</v>
      </c>
      <c r="BV23" s="403">
        <f t="shared" si="1"/>
        <v>2.9313520578905301</v>
      </c>
      <c r="BW23" s="403">
        <f t="shared" si="1"/>
        <v>2.9488666202170299</v>
      </c>
      <c r="BX23" s="403">
        <f t="shared" si="1"/>
        <v>2.9672225449874401</v>
      </c>
      <c r="BY23" s="419"/>
      <c r="BZ23" s="424">
        <f>AVERAGE(BQ23:BX23)</f>
        <v>2.9181200127451019</v>
      </c>
    </row>
    <row r="24" spans="67:78">
      <c r="BO24" s="417"/>
      <c r="BP24" s="419"/>
      <c r="BQ24" s="419"/>
      <c r="BR24" s="419"/>
      <c r="BS24" s="419"/>
      <c r="BT24" s="419"/>
      <c r="BU24" s="419"/>
      <c r="BV24" s="419"/>
      <c r="BW24" s="419"/>
      <c r="BX24" s="419"/>
      <c r="BY24" s="419"/>
      <c r="BZ24" s="425"/>
    </row>
    <row r="25" spans="67:78">
      <c r="BO25" s="417"/>
      <c r="BP25" s="419"/>
      <c r="BQ25" s="419"/>
      <c r="BR25" s="419"/>
      <c r="BS25" s="419"/>
      <c r="BT25" s="419"/>
      <c r="BU25" s="419"/>
      <c r="BV25" s="419"/>
      <c r="BW25" s="419"/>
      <c r="BX25" s="419"/>
      <c r="BY25" s="428" t="s">
        <v>209</v>
      </c>
      <c r="BZ25" s="429">
        <f>(BZ23-BZ19)/BZ19</f>
        <v>1.7780248869661817E-2</v>
      </c>
    </row>
    <row r="26" spans="67:78">
      <c r="BO26" s="430"/>
      <c r="BP26" s="431"/>
      <c r="BQ26" s="431"/>
      <c r="BR26" s="431"/>
      <c r="BS26" s="431"/>
      <c r="BT26" s="431"/>
      <c r="BU26" s="431"/>
      <c r="BV26" s="431"/>
      <c r="BW26" s="431"/>
      <c r="BX26" s="431"/>
      <c r="BY26" s="431"/>
      <c r="BZ26" s="432"/>
    </row>
  </sheetData>
  <mergeCells count="1">
    <mergeCell ref="BO21:BQ21"/>
  </mergeCells>
  <pageMargins left="0.25" right="0.25" top="1" bottom="1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Direct Care  Add On</vt:lpstr>
      <vt:lpstr>4624-Emergency Shelters</vt:lpstr>
      <vt:lpstr>4625 - Residential Housing Stab</vt:lpstr>
      <vt:lpstr>4626-DVSMT Shelters</vt:lpstr>
      <vt:lpstr>CAF 2019 Fall</vt:lpstr>
      <vt:lpstr>'4624-Emergency Shelters'!Print_Area</vt:lpstr>
      <vt:lpstr>'4625 - Residential Housing Stab'!Print_Area</vt:lpstr>
      <vt:lpstr>'4626-DVSMT Shelters'!Print_Area</vt:lpstr>
      <vt:lpstr>'CAF 2019 Fall'!Print_Area</vt:lpstr>
      <vt:lpstr>'Direct Care  Add On'!Print_Area</vt:lpstr>
      <vt:lpstr>'CAF 2019 Fall'!Print_Titles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2020-03-10T17:24:24Z</dcterms:created>
  <dcterms:modified xsi:type="dcterms:W3CDTF">2020-03-10T17:25:23Z</dcterms:modified>
</cp:coreProperties>
</file>