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9E6ECE68-77E7-485B-8E77-0219856FFBD7}" xr6:coauthVersionLast="47" xr6:coauthVersionMax="47" xr10:uidLastSave="{00000000-0000-0000-0000-000000000000}"/>
  <bookViews>
    <workbookView xWindow="3435" yWindow="3990" windowWidth="17340" windowHeight="10995" xr2:uid="{B05F24AB-F789-4A83-B103-D76F46F205E1}"/>
  </bookViews>
  <sheets>
    <sheet name="M2021 BLS SALARY CHART (53_PCT)" sheetId="26" r:id="rId1"/>
    <sheet name="Community Treatment Residence" sheetId="3" r:id="rId2"/>
    <sheet name="Specialty Treatment Residence" sheetId="4" r:id="rId3"/>
    <sheet name="Specialty TR -CSEC" sheetId="5" r:id="rId4"/>
    <sheet name="Intensive Treatment Residence" sheetId="6" r:id="rId5"/>
    <sheet name="Emergency Residence" sheetId="7" r:id="rId6"/>
    <sheet name="Intensive Emergency Residence " sheetId="8" r:id="rId7"/>
    <sheet name="Int Tment Res Emer Intake addon" sheetId="9" r:id="rId8"/>
    <sheet name=" Medically Complex Residence" sheetId="10" r:id="rId9"/>
    <sheet name="MedCmplx &amp; Behavioral Residence" sheetId="11" r:id="rId10"/>
    <sheet name="Youth&amp;YA Group Residence" sheetId="12" r:id="rId11"/>
    <sheet name="Youth&amp;YA Supp.Living Community " sheetId="13" r:id="rId12"/>
    <sheet name="Young Adult Supported Living" sheetId="14" r:id="rId13"/>
    <sheet name="Young Parent Residence" sheetId="15" r:id="rId14"/>
    <sheet name="Cong Care Add on Rates " sheetId="2" r:id="rId15"/>
    <sheet name="YouthRes  (FY24)" sheetId="16" r:id="rId16"/>
    <sheet name="TAYYA (FY24)" sheetId="17" r:id="rId17"/>
    <sheet name="IRTP (draft) " sheetId="19" r:id="rId18"/>
    <sheet name="CIRT (draft)" sheetId="20" r:id="rId19"/>
    <sheet name="3064 Intensive Therapeutic Care" sheetId="21" r:id="rId20"/>
    <sheet name="3072 Therapeutic Grp Care 6 Bed" sheetId="22" r:id="rId21"/>
    <sheet name="3072Therapeutic Grp Care 9 Bed " sheetId="23" r:id="rId22"/>
    <sheet name="3072Therapeutic Grp Care12 Bed " sheetId="24" r:id="rId23"/>
    <sheet name="3064 Adult Therap Care (FY24)" sheetId="25" r:id="rId24"/>
    <sheet name="CAF FALL 2022" sheetId="1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_Key1" localSheetId="8" hidden="1">#REF!</definedName>
    <definedName name="_Key1" localSheetId="5" hidden="1">#REF!</definedName>
    <definedName name="_Key1" localSheetId="7" hidden="1">#REF!</definedName>
    <definedName name="_Key1" localSheetId="6" hidden="1">#REF!</definedName>
    <definedName name="_Key1" localSheetId="4" hidden="1">#REF!</definedName>
    <definedName name="_Key1" localSheetId="0" hidden="1">#REF!</definedName>
    <definedName name="_Key1" localSheetId="9" hidden="1">#REF!</definedName>
    <definedName name="_Key1" localSheetId="3" hidden="1">#REF!</definedName>
    <definedName name="_Key1" localSheetId="2" hidden="1">#REF!</definedName>
    <definedName name="_Key1" localSheetId="16" hidden="1">#REF!</definedName>
    <definedName name="_Key1" localSheetId="12" hidden="1">#REF!</definedName>
    <definedName name="_Key1" localSheetId="13" hidden="1">#REF!</definedName>
    <definedName name="_Key1" localSheetId="10" hidden="1">#REF!</definedName>
    <definedName name="_Key1" localSheetId="11" hidden="1">#REF!</definedName>
    <definedName name="_Key1" localSheetId="15" hidden="1">#REF!</definedName>
    <definedName name="_Key1" hidden="1">#REF!</definedName>
    <definedName name="_Sort" localSheetId="8" hidden="1">#REF!</definedName>
    <definedName name="_Sort" localSheetId="5" hidden="1">#REF!</definedName>
    <definedName name="_Sort" localSheetId="7" hidden="1">#REF!</definedName>
    <definedName name="_Sort" localSheetId="6" hidden="1">#REF!</definedName>
    <definedName name="_Sort" localSheetId="4" hidden="1">#REF!</definedName>
    <definedName name="_Sort" localSheetId="0" hidden="1">#REF!</definedName>
    <definedName name="_Sort" localSheetId="9" hidden="1">#REF!</definedName>
    <definedName name="_Sort" localSheetId="3" hidden="1">#REF!</definedName>
    <definedName name="_Sort" localSheetId="2" hidden="1">#REF!</definedName>
    <definedName name="_Sort" localSheetId="16" hidden="1">#REF!</definedName>
    <definedName name="_Sort" localSheetId="12" hidden="1">#REF!</definedName>
    <definedName name="_Sort" localSheetId="13" hidden="1">#REF!</definedName>
    <definedName name="_Sort" localSheetId="10" hidden="1">#REF!</definedName>
    <definedName name="_Sort" localSheetId="11" hidden="1">#REF!</definedName>
    <definedName name="_Sort" localSheetId="15" hidden="1">#REF!</definedName>
    <definedName name="_Sort" hidden="1">#REF!</definedName>
    <definedName name="alldata" localSheetId="8">#REF!</definedName>
    <definedName name="alldata" localSheetId="23">#REF!</definedName>
    <definedName name="alldata" localSheetId="19">#REF!</definedName>
    <definedName name="alldata" localSheetId="20">#REF!</definedName>
    <definedName name="alldata" localSheetId="21">#REF!</definedName>
    <definedName name="alldata" localSheetId="22">#REF!</definedName>
    <definedName name="alldata" localSheetId="18">#REF!</definedName>
    <definedName name="alldata" localSheetId="14">#REF!</definedName>
    <definedName name="alldata" localSheetId="17">#REF!</definedName>
    <definedName name="alldata" localSheetId="0">#REF!</definedName>
    <definedName name="alldata" localSheetId="9">#REF!</definedName>
    <definedName name="alldata" localSheetId="12">#REF!</definedName>
    <definedName name="alldata" localSheetId="13">#REF!</definedName>
    <definedName name="alldata" localSheetId="10">#REF!</definedName>
    <definedName name="alldata" localSheetId="11">#REF!</definedName>
    <definedName name="alldata">#REF!</definedName>
    <definedName name="alled" localSheetId="8">#REF!</definedName>
    <definedName name="alled" localSheetId="14">#REF!</definedName>
    <definedName name="alled" localSheetId="0">#REF!</definedName>
    <definedName name="alled" localSheetId="9">#REF!</definedName>
    <definedName name="alled" localSheetId="12">#REF!</definedName>
    <definedName name="alled" localSheetId="13">#REF!</definedName>
    <definedName name="alled" localSheetId="10">#REF!</definedName>
    <definedName name="alled" localSheetId="11">#REF!</definedName>
    <definedName name="alled">#REF!</definedName>
    <definedName name="allstem" localSheetId="8">#REF!</definedName>
    <definedName name="allstem" localSheetId="14">#REF!</definedName>
    <definedName name="allstem" localSheetId="0">#REF!</definedName>
    <definedName name="allstem" localSheetId="9">#REF!</definedName>
    <definedName name="allstem" localSheetId="12">#REF!</definedName>
    <definedName name="allstem" localSheetId="13">#REF!</definedName>
    <definedName name="allstem" localSheetId="10">#REF!</definedName>
    <definedName name="allstem" localSheetId="11">#REF!</definedName>
    <definedName name="allstem">#REF!</definedName>
    <definedName name="Area">[1]Sheet2!$A$2:$A$28</definedName>
    <definedName name="ARENEW">[2]amendA!$B$1:$U$51</definedName>
    <definedName name="asdfasd" localSheetId="8">'[3]Complete UFR List'!#REF!</definedName>
    <definedName name="asdfasd" localSheetId="5">'[3]Complete UFR List'!#REF!</definedName>
    <definedName name="asdfasd" localSheetId="7">'[3]Complete UFR List'!#REF!</definedName>
    <definedName name="asdfasd" localSheetId="6">'[3]Complete UFR List'!#REF!</definedName>
    <definedName name="asdfasd" localSheetId="4">'[3]Complete UFR List'!#REF!</definedName>
    <definedName name="asdfasd" localSheetId="0">'[3]Complete UFR List'!#REF!</definedName>
    <definedName name="asdfasd" localSheetId="9">'[3]Complete UFR List'!#REF!</definedName>
    <definedName name="asdfasd" localSheetId="3">'[3]Complete UFR List'!#REF!</definedName>
    <definedName name="asdfasd" localSheetId="2">'[3]Complete UFR List'!#REF!</definedName>
    <definedName name="asdfasd" localSheetId="16">'[3]Complete UFR List'!#REF!</definedName>
    <definedName name="asdfasd" localSheetId="12">'[3]Complete UFR List'!#REF!</definedName>
    <definedName name="asdfasd" localSheetId="13">'[3]Complete UFR List'!#REF!</definedName>
    <definedName name="asdfasd" localSheetId="10">'[3]Complete UFR List'!#REF!</definedName>
    <definedName name="asdfasd" localSheetId="11">'[3]Complete UFR List'!#REF!</definedName>
    <definedName name="asdfasd" localSheetId="15">'[3]Complete UFR List'!#REF!</definedName>
    <definedName name="asdfasd">'[3]Complete UFR List'!#REF!</definedName>
    <definedName name="asdfasdf" localSheetId="23">#REF!</definedName>
    <definedName name="asdfasdf" localSheetId="24">#REF!</definedName>
    <definedName name="asdfasdf" localSheetId="18">'[3]Complete UFR List'!#REF!</definedName>
    <definedName name="asdfasdf" localSheetId="14">#N/A</definedName>
    <definedName name="asdfasdf" localSheetId="17">'[3]Complete UFR List'!#REF!</definedName>
    <definedName name="asdfasdf" localSheetId="0">#REF!</definedName>
    <definedName name="asdfasdf" localSheetId="16">#REF!</definedName>
    <definedName name="asdfasdf" localSheetId="12">#N/A</definedName>
    <definedName name="asdfasdf" localSheetId="10">#N/A</definedName>
    <definedName name="asdfasdf" localSheetId="11">#N/A</definedName>
    <definedName name="asdfasdf" localSheetId="15">#REF!</definedName>
    <definedName name="asdfasdf">#N/A</definedName>
    <definedName name="ATTABOY">[2]amendA!$B$2:$S$2</definedName>
    <definedName name="AutoInsurance">[4]Universal!$C$19</definedName>
    <definedName name="autsupp2" localSheetId="8">#REF!</definedName>
    <definedName name="autsupp2" localSheetId="0">#REF!</definedName>
    <definedName name="autsupp2" localSheetId="9">#REF!</definedName>
    <definedName name="autsupp2" localSheetId="12">#REF!</definedName>
    <definedName name="autsupp2" localSheetId="13">#REF!</definedName>
    <definedName name="autsupp2" localSheetId="10">#REF!</definedName>
    <definedName name="autsupp2" localSheetId="11">#REF!</definedName>
    <definedName name="autsupp2">#REF!</definedName>
    <definedName name="Average" localSheetId="23">#REF!</definedName>
    <definedName name="Average" localSheetId="24">#REF!</definedName>
    <definedName name="Average" localSheetId="18">#REF!</definedName>
    <definedName name="Average" localSheetId="14">#N/A</definedName>
    <definedName name="Average" localSheetId="17">#REF!</definedName>
    <definedName name="Average" localSheetId="0">#REF!</definedName>
    <definedName name="Average" localSheetId="16">#REF!</definedName>
    <definedName name="Average" localSheetId="12">#N/A</definedName>
    <definedName name="Average" localSheetId="10">#N/A</definedName>
    <definedName name="Average" localSheetId="11">#N/A</definedName>
    <definedName name="Average" localSheetId="15">#REF!</definedName>
    <definedName name="Average">#N/A</definedName>
    <definedName name="BB6_4" localSheetId="8">#REF!</definedName>
    <definedName name="BB6_4" localSheetId="5">#REF!</definedName>
    <definedName name="BB6_4" localSheetId="7">#REF!</definedName>
    <definedName name="BB6_4" localSheetId="6">#REF!</definedName>
    <definedName name="BB6_4" localSheetId="4">#REF!</definedName>
    <definedName name="BB6_4" localSheetId="0">#REF!</definedName>
    <definedName name="BB6_4" localSheetId="9">#REF!</definedName>
    <definedName name="BB6_4" localSheetId="3">#REF!</definedName>
    <definedName name="BB6_4" localSheetId="2">#REF!</definedName>
    <definedName name="BB6_4" localSheetId="16">#REF!</definedName>
    <definedName name="BB6_4" localSheetId="12">#REF!</definedName>
    <definedName name="BB6_4" localSheetId="13">#REF!</definedName>
    <definedName name="BB6_4" localSheetId="10">#REF!</definedName>
    <definedName name="BB6_4" localSheetId="11">#REF!</definedName>
    <definedName name="BB6_4" localSheetId="15">#REF!</definedName>
    <definedName name="BB6_4">#REF!</definedName>
    <definedName name="CAF_NEW" localSheetId="24">[5]RawDataCalcs!$L$70:$DB$70</definedName>
    <definedName name="CAF_NEW" localSheetId="0">[5]RawDataCalcs!$L$70:$DB$70</definedName>
    <definedName name="CAF_NEW">[6]RawDataCalcs!$L$70:$DB$70</definedName>
    <definedName name="Cap" localSheetId="24">[7]RawDataCalcs!$L$70:$DB$70</definedName>
    <definedName name="Cap" localSheetId="18">'[8]RawDataCalcs3386&amp;3401'!$L$66:$DB$66</definedName>
    <definedName name="Cap" localSheetId="17">'[8]RawDataCalcs3386&amp;3401'!$L$66:$DB$66</definedName>
    <definedName name="Cap" localSheetId="0">[9]RawDataCalcs!$L$35:$DB$35</definedName>
    <definedName name="Cap">[10]RawDataCalcs!$L$70:$DB$70</definedName>
    <definedName name="capa">[11]RawDataCalcs!$L$17:$DB$17</definedName>
    <definedName name="chart">#REF!</definedName>
    <definedName name="COLA">[4]Universal!$C$12</definedName>
    <definedName name="Data" localSheetId="23">#REF!</definedName>
    <definedName name="Data" localSheetId="24">#REF!</definedName>
    <definedName name="Data" localSheetId="18">#REF!</definedName>
    <definedName name="Data" localSheetId="14">#N/A</definedName>
    <definedName name="Data" localSheetId="17">#REF!</definedName>
    <definedName name="Data" localSheetId="0">#REF!</definedName>
    <definedName name="Data" localSheetId="16">#REF!</definedName>
    <definedName name="Data" localSheetId="12">#N/A</definedName>
    <definedName name="Data" localSheetId="10">#N/A</definedName>
    <definedName name="Data" localSheetId="11">#N/A</definedName>
    <definedName name="Data" localSheetId="15">#REF!</definedName>
    <definedName name="Data">#N/A</definedName>
    <definedName name="Electricity">[4]Universal!$C$21</definedName>
    <definedName name="Fisc" localSheetId="18">'[3]Complete UFR List'!#REF!</definedName>
    <definedName name="Fisc" localSheetId="17">'[3]Complete UFR List'!#REF!</definedName>
    <definedName name="Fisc" localSheetId="0">'[3]Complete UFR List'!#REF!</definedName>
    <definedName name="Fisc">'[3]Complete UFR List'!#REF!</definedName>
    <definedName name="FiveDay">[4]Universal!$C$17</definedName>
    <definedName name="Floor" localSheetId="24">[7]RawDataCalcs!$L$69:$DB$69</definedName>
    <definedName name="Floor" localSheetId="18">'[8]RawDataCalcs3386&amp;3401'!$L$65:$DB$65</definedName>
    <definedName name="Floor" localSheetId="17">'[8]RawDataCalcs3386&amp;3401'!$L$65:$DB$65</definedName>
    <definedName name="Floor" localSheetId="0">[9]RawDataCalcs!$L$34:$DB$34</definedName>
    <definedName name="Floor">[10]RawDataCalcs!$L$69:$DB$69</definedName>
    <definedName name="Fringe">[4]Universal!$C$8</definedName>
    <definedName name="FROM">[2]amendA!$G$7</definedName>
    <definedName name="Funds" localSheetId="24">'[12]RawDataCalcs3386&amp;3401'!$L$68:$DB$68</definedName>
    <definedName name="Funds" localSheetId="0">'[12]RawDataCalcs3386&amp;3401'!$L$68:$DB$68</definedName>
    <definedName name="Funds">'[13]RawDataCalcs3386&amp;3401'!$L$68:$DB$68</definedName>
    <definedName name="GA">[4]Universal!$C$13</definedName>
    <definedName name="Gas">[4]Universal!$C$22</definedName>
    <definedName name="gk" localSheetId="23">#REF!</definedName>
    <definedName name="gk" localSheetId="24">#REF!</definedName>
    <definedName name="gk" localSheetId="18">#REF!</definedName>
    <definedName name="gk" localSheetId="14">#N/A</definedName>
    <definedName name="gk" localSheetId="17">#REF!</definedName>
    <definedName name="gk" localSheetId="0">#REF!</definedName>
    <definedName name="gk" localSheetId="16">#REF!</definedName>
    <definedName name="gk" localSheetId="12">#N/A</definedName>
    <definedName name="gk" localSheetId="10">#N/A</definedName>
    <definedName name="gk" localSheetId="11">#N/A</definedName>
    <definedName name="gk" localSheetId="15">#REF!</definedName>
    <definedName name="gk">#N/A</definedName>
    <definedName name="hhh" localSheetId="23">#REF!</definedName>
    <definedName name="hhh" localSheetId="24">#REF!</definedName>
    <definedName name="hhh" localSheetId="18">#REF!</definedName>
    <definedName name="hhh" localSheetId="14">#N/A</definedName>
    <definedName name="hhh" localSheetId="17">#REF!</definedName>
    <definedName name="hhh" localSheetId="0">#REF!</definedName>
    <definedName name="hhh" localSheetId="16">#REF!</definedName>
    <definedName name="hhh" localSheetId="12">#N/A</definedName>
    <definedName name="hhh" localSheetId="10">#N/A</definedName>
    <definedName name="hhh" localSheetId="11">#N/A</definedName>
    <definedName name="hhh" localSheetId="15">#REF!</definedName>
    <definedName name="hhh">#N/A</definedName>
    <definedName name="Holidays">[4]Universal!$C$49:$C$59</definedName>
    <definedName name="JailDAverage" localSheetId="23">#REF!</definedName>
    <definedName name="JailDAverage" localSheetId="24">#REF!</definedName>
    <definedName name="JailDAverage" localSheetId="18">#REF!</definedName>
    <definedName name="JailDAverage" localSheetId="14">#N/A</definedName>
    <definedName name="JailDAverage" localSheetId="17">#REF!</definedName>
    <definedName name="JailDAverage" localSheetId="0">#REF!</definedName>
    <definedName name="JailDAverage" localSheetId="16">#REF!</definedName>
    <definedName name="JailDAverage" localSheetId="12">#N/A</definedName>
    <definedName name="JailDAverage" localSheetId="10">#N/A</definedName>
    <definedName name="JailDAverage" localSheetId="11">#N/A</definedName>
    <definedName name="JailDAverage" localSheetId="15">#REF!</definedName>
    <definedName name="JailDAverage">#N/A</definedName>
    <definedName name="JailDCap" localSheetId="24">[14]ALLRawDataCalcs!$L$80:$DB$80</definedName>
    <definedName name="JailDCap" localSheetId="0">[14]ALLRawDataCalcs!$L$80:$DB$80</definedName>
    <definedName name="JailDCap">[15]ALLRawDataCalcs!$L$80:$DB$80</definedName>
    <definedName name="JailDFloor" localSheetId="24">[14]ALLRawDataCalcs!$L$79:$DB$79</definedName>
    <definedName name="JailDFloor" localSheetId="0">[14]ALLRawDataCalcs!$L$79:$DB$79</definedName>
    <definedName name="JailDFloor">[15]ALLRawDataCalcs!$L$79:$DB$79</definedName>
    <definedName name="JailDgk" localSheetId="23">#REF!</definedName>
    <definedName name="JailDgk" localSheetId="24">#REF!</definedName>
    <definedName name="JailDgk" localSheetId="18">#REF!</definedName>
    <definedName name="JailDgk" localSheetId="14">#N/A</definedName>
    <definedName name="JailDgk" localSheetId="17">#REF!</definedName>
    <definedName name="JailDgk" localSheetId="0">#REF!</definedName>
    <definedName name="JailDgk" localSheetId="16">#REF!</definedName>
    <definedName name="JailDgk" localSheetId="12">#N/A</definedName>
    <definedName name="JailDgk" localSheetId="10">#N/A</definedName>
    <definedName name="JailDgk" localSheetId="11">#N/A</definedName>
    <definedName name="JailDgk" localSheetId="15">#REF!</definedName>
    <definedName name="JailDgk">#N/A</definedName>
    <definedName name="JailDMax" localSheetId="23">#REF!</definedName>
    <definedName name="JailDMax" localSheetId="24">#REF!</definedName>
    <definedName name="JailDMax" localSheetId="18">#REF!</definedName>
    <definedName name="JailDMax" localSheetId="14">#N/A</definedName>
    <definedName name="JailDMax" localSheetId="17">#REF!</definedName>
    <definedName name="JailDMax" localSheetId="0">#REF!</definedName>
    <definedName name="JailDMax" localSheetId="16">#REF!</definedName>
    <definedName name="JailDMax" localSheetId="12">#N/A</definedName>
    <definedName name="JailDMax" localSheetId="10">#N/A</definedName>
    <definedName name="JailDMax" localSheetId="11">#N/A</definedName>
    <definedName name="JailDMax" localSheetId="15">#REF!</definedName>
    <definedName name="JailDMax">#N/A</definedName>
    <definedName name="JailDMedian" localSheetId="23">#REF!</definedName>
    <definedName name="JailDMedian" localSheetId="24">#REF!</definedName>
    <definedName name="JailDMedian" localSheetId="18">#REF!</definedName>
    <definedName name="JailDMedian" localSheetId="14">#N/A</definedName>
    <definedName name="JailDMedian" localSheetId="17">#REF!</definedName>
    <definedName name="JailDMedian" localSheetId="0">#REF!</definedName>
    <definedName name="JailDMedian" localSheetId="16">#REF!</definedName>
    <definedName name="JailDMedian" localSheetId="12">#N/A</definedName>
    <definedName name="JailDMedian" localSheetId="10">#N/A</definedName>
    <definedName name="JailDMedian" localSheetId="11">#N/A</definedName>
    <definedName name="JailDMedian" localSheetId="15">#REF!</definedName>
    <definedName name="JailDMedian">#N/A</definedName>
    <definedName name="jm" localSheetId="8">'[3]Complete UFR List'!#REF!</definedName>
    <definedName name="jm" localSheetId="5">'[3]Complete UFR List'!#REF!</definedName>
    <definedName name="jm" localSheetId="7">'[3]Complete UFR List'!#REF!</definedName>
    <definedName name="jm" localSheetId="6">'[3]Complete UFR List'!#REF!</definedName>
    <definedName name="jm" localSheetId="4">'[3]Complete UFR List'!#REF!</definedName>
    <definedName name="jm" localSheetId="0">'[3]Complete UFR List'!#REF!</definedName>
    <definedName name="jm" localSheetId="9">'[3]Complete UFR List'!#REF!</definedName>
    <definedName name="jm" localSheetId="3">'[3]Complete UFR List'!#REF!</definedName>
    <definedName name="jm" localSheetId="2">'[3]Complete UFR List'!#REF!</definedName>
    <definedName name="jm" localSheetId="12">'[3]Complete UFR List'!#REF!</definedName>
    <definedName name="jm" localSheetId="13">'[3]Complete UFR List'!#REF!</definedName>
    <definedName name="jm" localSheetId="10">'[3]Complete UFR List'!#REF!</definedName>
    <definedName name="jm" localSheetId="11">'[3]Complete UFR List'!#REF!</definedName>
    <definedName name="jm">'[3]Complete UFR List'!#REF!</definedName>
    <definedName name="KARA">#REF!</definedName>
    <definedName name="kls" localSheetId="23">#REF!</definedName>
    <definedName name="kls" localSheetId="24">#REF!</definedName>
    <definedName name="kls" localSheetId="18">#REF!</definedName>
    <definedName name="kls" localSheetId="14">#N/A</definedName>
    <definedName name="kls" localSheetId="17">#REF!</definedName>
    <definedName name="kls" localSheetId="0">#REF!</definedName>
    <definedName name="kls" localSheetId="16">#REF!</definedName>
    <definedName name="kls" localSheetId="12">#N/A</definedName>
    <definedName name="kls" localSheetId="10">#N/A</definedName>
    <definedName name="kls" localSheetId="11">#N/A</definedName>
    <definedName name="kls" localSheetId="15">#REF!</definedName>
    <definedName name="kls">#N/A</definedName>
    <definedName name="ListProviders">'[16]List of Programs'!$A$24:$A$29</definedName>
    <definedName name="Max" localSheetId="23">#REF!</definedName>
    <definedName name="Max" localSheetId="24">#REF!</definedName>
    <definedName name="Max" localSheetId="18">#REF!</definedName>
    <definedName name="Max" localSheetId="14">#N/A</definedName>
    <definedName name="Max" localSheetId="17">#REF!</definedName>
    <definedName name="Max" localSheetId="0">#REF!</definedName>
    <definedName name="Max" localSheetId="16">#REF!</definedName>
    <definedName name="Max" localSheetId="12">#N/A</definedName>
    <definedName name="Max" localSheetId="10">#N/A</definedName>
    <definedName name="Max" localSheetId="11">#N/A</definedName>
    <definedName name="Max" localSheetId="15">#REF!</definedName>
    <definedName name="Max">#N/A</definedName>
    <definedName name="Median" localSheetId="23">#REF!</definedName>
    <definedName name="Median" localSheetId="24">#REF!</definedName>
    <definedName name="Median" localSheetId="18">#REF!</definedName>
    <definedName name="Median" localSheetId="14">#N/A</definedName>
    <definedName name="Median" localSheetId="17">#REF!</definedName>
    <definedName name="Median" localSheetId="0">#REF!</definedName>
    <definedName name="Median" localSheetId="16">#REF!</definedName>
    <definedName name="Median" localSheetId="12">#N/A</definedName>
    <definedName name="Median" localSheetId="10">#N/A</definedName>
    <definedName name="Median" localSheetId="11">#N/A</definedName>
    <definedName name="Median" localSheetId="15">#REF!</definedName>
    <definedName name="Median">#N/A</definedName>
    <definedName name="Min" localSheetId="23">#REF!</definedName>
    <definedName name="Min" localSheetId="24">#REF!</definedName>
    <definedName name="Min" localSheetId="18">#REF!</definedName>
    <definedName name="Min" localSheetId="14">#N/A</definedName>
    <definedName name="Min" localSheetId="17">#REF!</definedName>
    <definedName name="Min" localSheetId="0">#REF!</definedName>
    <definedName name="Min" localSheetId="16">#REF!</definedName>
    <definedName name="Min" localSheetId="12">#N/A</definedName>
    <definedName name="Min" localSheetId="10">#N/A</definedName>
    <definedName name="Min" localSheetId="11">#N/A</definedName>
    <definedName name="Min" localSheetId="15">#REF!</definedName>
    <definedName name="Min">#N/A</definedName>
    <definedName name="mr" localSheetId="8">#REF!</definedName>
    <definedName name="mr" localSheetId="23">#REF!</definedName>
    <definedName name="mr" localSheetId="19">#REF!</definedName>
    <definedName name="mr" localSheetId="20">#REF!</definedName>
    <definedName name="mr" localSheetId="21">#REF!</definedName>
    <definedName name="mr" localSheetId="22">#REF!</definedName>
    <definedName name="mr" localSheetId="14">#REF!</definedName>
    <definedName name="mr" localSheetId="5">#REF!</definedName>
    <definedName name="mr" localSheetId="7">#REF!</definedName>
    <definedName name="mr" localSheetId="6">#REF!</definedName>
    <definedName name="mr" localSheetId="4">#REF!</definedName>
    <definedName name="mr" localSheetId="0">#REF!</definedName>
    <definedName name="mr" localSheetId="9">#REF!</definedName>
    <definedName name="mr" localSheetId="3">#REF!</definedName>
    <definedName name="mr" localSheetId="2">#REF!</definedName>
    <definedName name="mr" localSheetId="16">#REF!</definedName>
    <definedName name="mr" localSheetId="12">#REF!</definedName>
    <definedName name="mr" localSheetId="13">#REF!</definedName>
    <definedName name="mr" localSheetId="10">#REF!</definedName>
    <definedName name="mr" localSheetId="11">#REF!</definedName>
    <definedName name="mr" localSheetId="15">#REF!</definedName>
    <definedName name="mr">#REF!</definedName>
    <definedName name="MT" localSheetId="23">#REF!</definedName>
    <definedName name="MT" localSheetId="24">#REF!</definedName>
    <definedName name="MT" localSheetId="18">#REF!</definedName>
    <definedName name="MT" localSheetId="14">#N/A</definedName>
    <definedName name="MT" localSheetId="17">#REF!</definedName>
    <definedName name="MT" localSheetId="0">#REF!</definedName>
    <definedName name="MT" localSheetId="16">#REF!</definedName>
    <definedName name="MT" localSheetId="12">#N/A</definedName>
    <definedName name="MT" localSheetId="10">#N/A</definedName>
    <definedName name="MT" localSheetId="11">#N/A</definedName>
    <definedName name="MT" localSheetId="15">#REF!</definedName>
    <definedName name="MT">#N/A</definedName>
    <definedName name="new" localSheetId="23">#REF!</definedName>
    <definedName name="new" localSheetId="24">#REF!</definedName>
    <definedName name="new" localSheetId="18">#REF!</definedName>
    <definedName name="new" localSheetId="14">#N/A</definedName>
    <definedName name="new" localSheetId="17">#REF!</definedName>
    <definedName name="new" localSheetId="0">#REF!</definedName>
    <definedName name="new" localSheetId="16">#REF!</definedName>
    <definedName name="new" localSheetId="12">#N/A</definedName>
    <definedName name="new" localSheetId="10">#N/A</definedName>
    <definedName name="new" localSheetId="11">#N/A</definedName>
    <definedName name="new" localSheetId="15">#REF!</definedName>
    <definedName name="new">#N/A</definedName>
    <definedName name="Oil">[4]Universal!$C$23</definedName>
    <definedName name="ok" localSheetId="23">#REF!</definedName>
    <definedName name="ok" localSheetId="24">#REF!</definedName>
    <definedName name="ok" localSheetId="18">#REF!</definedName>
    <definedName name="ok" localSheetId="14">#N/A</definedName>
    <definedName name="ok" localSheetId="17">#REF!</definedName>
    <definedName name="ok" localSheetId="0">#REF!</definedName>
    <definedName name="ok" localSheetId="16">#REF!</definedName>
    <definedName name="ok" localSheetId="12">#N/A</definedName>
    <definedName name="ok" localSheetId="10">#N/A</definedName>
    <definedName name="ok" localSheetId="11">#N/A</definedName>
    <definedName name="ok" localSheetId="15">#REF!</definedName>
    <definedName name="ok">#N/A</definedName>
    <definedName name="Paydays">[4]Universal!$C$33:$N$33</definedName>
    <definedName name="Phone">[4]Universal!$C$25</definedName>
    <definedName name="_xlnm.Print_Area" localSheetId="8">#N/A</definedName>
    <definedName name="_xlnm.Print_Area" localSheetId="23">#N/A</definedName>
    <definedName name="_xlnm.Print_Area" localSheetId="19">#N/A</definedName>
    <definedName name="_xlnm.Print_Area" localSheetId="20">#N/A</definedName>
    <definedName name="_xlnm.Print_Area" localSheetId="21">#N/A</definedName>
    <definedName name="_xlnm.Print_Area" localSheetId="22">#N/A</definedName>
    <definedName name="_xlnm.Print_Area" localSheetId="18">'CIRT (draft)'!$H$1:$L$24</definedName>
    <definedName name="_xlnm.Print_Area" localSheetId="1">#N/A</definedName>
    <definedName name="_xlnm.Print_Area" localSheetId="14">#N/A</definedName>
    <definedName name="_xlnm.Print_Area" localSheetId="5">#N/A</definedName>
    <definedName name="_xlnm.Print_Area" localSheetId="7">#N/A</definedName>
    <definedName name="_xlnm.Print_Area" localSheetId="6">#N/A</definedName>
    <definedName name="_xlnm.Print_Area" localSheetId="4">#N/A</definedName>
    <definedName name="_xlnm.Print_Area" localSheetId="0">'M2021 BLS SALARY CHART (53_PCT)'!$B$1:$E$46</definedName>
    <definedName name="_xlnm.Print_Area" localSheetId="9">#N/A</definedName>
    <definedName name="_xlnm.Print_Area" localSheetId="3">#N/A</definedName>
    <definedName name="_xlnm.Print_Area" localSheetId="2">#N/A</definedName>
    <definedName name="_xlnm.Print_Area" localSheetId="16">'TAYYA (FY24)'!$B$3:$H$66</definedName>
    <definedName name="_xlnm.Print_Area" localSheetId="15">'YouthRes  (FY24)'!$C$1:$J$87</definedName>
    <definedName name="_xlnm.Print_Titles" localSheetId="24">'CAF FALL 2022'!$A:$A</definedName>
    <definedName name="Program_File" localSheetId="8">#N/A</definedName>
    <definedName name="Program_File" localSheetId="23">#REF!</definedName>
    <definedName name="Program_File" localSheetId="24">#REF!</definedName>
    <definedName name="Program_File" localSheetId="18">#REF!</definedName>
    <definedName name="Program_File" localSheetId="1">#N/A</definedName>
    <definedName name="Program_File" localSheetId="14">#N/A</definedName>
    <definedName name="Program_File" localSheetId="5">#N/A</definedName>
    <definedName name="Program_File" localSheetId="7">#N/A</definedName>
    <definedName name="Program_File" localSheetId="6">#N/A</definedName>
    <definedName name="Program_File" localSheetId="17">#REF!</definedName>
    <definedName name="Program_File" localSheetId="0">#REF!</definedName>
    <definedName name="Program_File" localSheetId="9">#N/A</definedName>
    <definedName name="Program_File" localSheetId="3">#N/A</definedName>
    <definedName name="Program_File" localSheetId="2">#N/A</definedName>
    <definedName name="Program_File" localSheetId="16">#REF!</definedName>
    <definedName name="Program_File" localSheetId="12">#N/A</definedName>
    <definedName name="Program_File" localSheetId="13">#N/A</definedName>
    <definedName name="Program_File" localSheetId="10">#N/A</definedName>
    <definedName name="Program_File" localSheetId="11">#N/A</definedName>
    <definedName name="Program_File" localSheetId="15">#REF!</definedName>
    <definedName name="Program_File">#N/A</definedName>
    <definedName name="Programs">'[16]List of Programs'!$B$3:$B$19</definedName>
    <definedName name="PropInsurance">[4]Universal!$C$20</definedName>
    <definedName name="ProvFTE" localSheetId="18">'[17]FTE Data'!$A$3:$AW$56</definedName>
    <definedName name="ProvFTE" localSheetId="14">'[18]FTE Data'!$A$3:$AW$56</definedName>
    <definedName name="ProvFTE" localSheetId="17">'[17]FTE Data'!$A$3:$AW$56</definedName>
    <definedName name="ProvFTE">'[19]FTE Data'!$A$3:$AW$56</definedName>
    <definedName name="PTO_Hours">[4]Universal!$F$72:$F$78</definedName>
    <definedName name="PTO_Years">[4]Universal!$B$72:$B$78</definedName>
    <definedName name="PurchasedBy" localSheetId="18">'[17]FTE Data'!$C$263:$AZ$657</definedName>
    <definedName name="PurchasedBy" localSheetId="14">'[18]FTE Data'!$C$263:$AZ$657</definedName>
    <definedName name="PurchasedBy" localSheetId="17">'[17]FTE Data'!$C$263:$AZ$657</definedName>
    <definedName name="PurchasedBy">'[19]FTE Data'!$C$263:$AZ$657</definedName>
    <definedName name="REGION">[1]Sheet2!$B$1:$B$5</definedName>
    <definedName name="Relief">[4]Universal!$C$14</definedName>
    <definedName name="resmay2007" localSheetId="23">#REF!</definedName>
    <definedName name="resmay2007" localSheetId="24">#REF!</definedName>
    <definedName name="resmay2007" localSheetId="18">#REF!</definedName>
    <definedName name="resmay2007" localSheetId="14">#N/A</definedName>
    <definedName name="resmay2007" localSheetId="17">#REF!</definedName>
    <definedName name="resmay2007" localSheetId="0">#REF!</definedName>
    <definedName name="resmay2007" localSheetId="16">#REF!</definedName>
    <definedName name="resmay2007" localSheetId="12">#N/A</definedName>
    <definedName name="resmay2007" localSheetId="10">#N/A</definedName>
    <definedName name="resmay2007" localSheetId="11">#N/A</definedName>
    <definedName name="resmay2007" localSheetId="15">#REF!</definedName>
    <definedName name="resmay2007">#N/A</definedName>
    <definedName name="SevenDay">[4]Universal!$C$18</definedName>
    <definedName name="sheet1" localSheetId="8">#REF!</definedName>
    <definedName name="sheet1" localSheetId="23">#REF!</definedName>
    <definedName name="sheet1" localSheetId="19">#REF!</definedName>
    <definedName name="sheet1" localSheetId="20">#REF!</definedName>
    <definedName name="sheet1" localSheetId="21">#REF!</definedName>
    <definedName name="sheet1" localSheetId="22">#REF!</definedName>
    <definedName name="sheet1" localSheetId="14">#REF!</definedName>
    <definedName name="sheet1" localSheetId="0">#REF!</definedName>
    <definedName name="sheet1" localSheetId="9">#REF!</definedName>
    <definedName name="sheet1" localSheetId="3">#REF!</definedName>
    <definedName name="sheet1" localSheetId="2">#REF!</definedName>
    <definedName name="sheet1" localSheetId="16">#REF!</definedName>
    <definedName name="sheet1" localSheetId="12">#REF!</definedName>
    <definedName name="sheet1" localSheetId="13">#REF!</definedName>
    <definedName name="sheet1" localSheetId="10">#REF!</definedName>
    <definedName name="sheet1" localSheetId="11">#REF!</definedName>
    <definedName name="sheet1" localSheetId="15">#REF!</definedName>
    <definedName name="sheet1">#REF!</definedName>
    <definedName name="Site_list" localSheetId="18">[17]Lists!$A$2:$A$53</definedName>
    <definedName name="Site_list" localSheetId="14">[18]Lists!$A$2:$A$53</definedName>
    <definedName name="Site_list" localSheetId="17">[17]Lists!$A$2:$A$53</definedName>
    <definedName name="Site_list">[19]Lists!$A$2:$A$53</definedName>
    <definedName name="Source" localSheetId="23">#REF!</definedName>
    <definedName name="Source" localSheetId="24">#REF!</definedName>
    <definedName name="Source" localSheetId="18">#REF!</definedName>
    <definedName name="Source" localSheetId="14">#N/A</definedName>
    <definedName name="Source" localSheetId="17">#REF!</definedName>
    <definedName name="Source" localSheetId="0">#REF!</definedName>
    <definedName name="Source" localSheetId="16">#REF!</definedName>
    <definedName name="Source" localSheetId="12">#N/A</definedName>
    <definedName name="Source" localSheetId="10">#N/A</definedName>
    <definedName name="Source" localSheetId="11">#N/A</definedName>
    <definedName name="Source" localSheetId="15">#REF!</definedName>
    <definedName name="Source">#N/A</definedName>
    <definedName name="Source_2" localSheetId="23">#REF!</definedName>
    <definedName name="Source_2" localSheetId="24">#REF!</definedName>
    <definedName name="Source_2" localSheetId="18">#REF!</definedName>
    <definedName name="Source_2" localSheetId="14">#N/A</definedName>
    <definedName name="Source_2" localSheetId="17">#REF!</definedName>
    <definedName name="Source_2" localSheetId="0">#REF!</definedName>
    <definedName name="Source_2" localSheetId="16">#REF!</definedName>
    <definedName name="Source_2" localSheetId="12">#N/A</definedName>
    <definedName name="Source_2" localSheetId="10">#N/A</definedName>
    <definedName name="Source_2" localSheetId="11">#N/A</definedName>
    <definedName name="Source_2" localSheetId="15">#REF!</definedName>
    <definedName name="Source_2">#N/A</definedName>
    <definedName name="SourcePathAndFileName" localSheetId="23">#REF!</definedName>
    <definedName name="SourcePathAndFileName" localSheetId="24">#REF!</definedName>
    <definedName name="SourcePathAndFileName" localSheetId="18">#REF!</definedName>
    <definedName name="SourcePathAndFileName" localSheetId="14">#N/A</definedName>
    <definedName name="SourcePathAndFileName" localSheetId="17">#REF!</definedName>
    <definedName name="SourcePathAndFileName" localSheetId="0">#REF!</definedName>
    <definedName name="SourcePathAndFileName" localSheetId="16">#REF!</definedName>
    <definedName name="SourcePathAndFileName" localSheetId="12">#N/A</definedName>
    <definedName name="SourcePathAndFileName" localSheetId="10">#N/A</definedName>
    <definedName name="SourcePathAndFileName" localSheetId="11">#N/A</definedName>
    <definedName name="SourcePathAndFileName" localSheetId="15">#REF!</definedName>
    <definedName name="SourcePathAndFileName">#N/A</definedName>
    <definedName name="StaffApp">[4]Universal!$C$11</definedName>
    <definedName name="Tax">[4]Universal!$C$7</definedName>
    <definedName name="TO">[2]amendA!$K$7:$O$7</definedName>
    <definedName name="Total_UFR" localSheetId="23">#REF!</definedName>
    <definedName name="Total_UFR" localSheetId="24">#REF!</definedName>
    <definedName name="Total_UFR" localSheetId="18">#REF!</definedName>
    <definedName name="Total_UFR" localSheetId="14">#N/A</definedName>
    <definedName name="Total_UFR" localSheetId="17">#REF!</definedName>
    <definedName name="Total_UFR" localSheetId="0">#REF!</definedName>
    <definedName name="Total_UFR" localSheetId="16">#REF!</definedName>
    <definedName name="Total_UFR" localSheetId="12">#N/A</definedName>
    <definedName name="Total_UFR" localSheetId="10">#N/A</definedName>
    <definedName name="Total_UFR" localSheetId="11">#N/A</definedName>
    <definedName name="Total_UFR" localSheetId="15">#REF!</definedName>
    <definedName name="Total_UFR">#N/A</definedName>
    <definedName name="Total_UFRs" localSheetId="23">#REF!</definedName>
    <definedName name="Total_UFRs" localSheetId="24">#REF!</definedName>
    <definedName name="Total_UFRs" localSheetId="18">#REF!</definedName>
    <definedName name="Total_UFRs" localSheetId="14">#N/A</definedName>
    <definedName name="Total_UFRs" localSheetId="17">#REF!</definedName>
    <definedName name="Total_UFRs" localSheetId="0">#REF!</definedName>
    <definedName name="Total_UFRs" localSheetId="16">#REF!</definedName>
    <definedName name="Total_UFRs" localSheetId="12">#N/A</definedName>
    <definedName name="Total_UFRs" localSheetId="10">#N/A</definedName>
    <definedName name="Total_UFRs" localSheetId="11">#N/A</definedName>
    <definedName name="Total_UFRs" localSheetId="15">#REF!</definedName>
    <definedName name="Total_UFRs">#N/A</definedName>
    <definedName name="Total_UFRs_" localSheetId="23">#REF!</definedName>
    <definedName name="Total_UFRs_" localSheetId="24">#REF!</definedName>
    <definedName name="Total_UFRs_" localSheetId="18">#REF!</definedName>
    <definedName name="Total_UFRs_" localSheetId="14">#N/A</definedName>
    <definedName name="Total_UFRs_" localSheetId="17">#REF!</definedName>
    <definedName name="Total_UFRs_" localSheetId="0">#REF!</definedName>
    <definedName name="Total_UFRs_" localSheetId="16">#REF!</definedName>
    <definedName name="Total_UFRs_" localSheetId="12">#N/A</definedName>
    <definedName name="Total_UFRs_" localSheetId="10">#N/A</definedName>
    <definedName name="Total_UFRs_" localSheetId="11">#N/A</definedName>
    <definedName name="Total_UFRs_" localSheetId="15">#REF!</definedName>
    <definedName name="Total_UFRs_">#N/A</definedName>
    <definedName name="TotalDays">[4]Universal!$C$30:$N$30</definedName>
    <definedName name="UFR" localSheetId="23">'[3]Complete UFR List'!#REF!</definedName>
    <definedName name="UFR" localSheetId="14">'[3]Complete UFR List'!#REF!</definedName>
    <definedName name="UFR" localSheetId="5">'[3]Complete UFR List'!#REF!</definedName>
    <definedName name="UFR" localSheetId="7">'[3]Complete UFR List'!#REF!</definedName>
    <definedName name="UFR" localSheetId="6">'[3]Complete UFR List'!#REF!</definedName>
    <definedName name="UFR" localSheetId="4">'[3]Complete UFR List'!#REF!</definedName>
    <definedName name="UFR" localSheetId="0">'[3]Complete UFR List'!#REF!</definedName>
    <definedName name="UFR" localSheetId="3">'[3]Complete UFR List'!#REF!</definedName>
    <definedName name="UFR" localSheetId="2">'[3]Complete UFR List'!#REF!</definedName>
    <definedName name="UFR" localSheetId="16">'[3]Complete UFR List'!#REF!</definedName>
    <definedName name="UFR" localSheetId="12">'[3]Complete UFR List'!#REF!</definedName>
    <definedName name="UFR" localSheetId="10">'[3]Complete UFR List'!#REF!</definedName>
    <definedName name="UFR" localSheetId="11">'[3]Complete UFR List'!#REF!</definedName>
    <definedName name="UFR" localSheetId="15">'[3]Complete UFR List'!#REF!</definedName>
    <definedName name="UFR">'[3]Complete UFR List'!#REF!</definedName>
    <definedName name="UFRS" localSheetId="23">'[3]Complete UFR List'!#REF!</definedName>
    <definedName name="UFRS" localSheetId="14">'[3]Complete UFR List'!#REF!</definedName>
    <definedName name="UFRS" localSheetId="0">'[3]Complete UFR List'!#REF!</definedName>
    <definedName name="UFRS" localSheetId="3">'[3]Complete UFR List'!#REF!</definedName>
    <definedName name="UFRS" localSheetId="2">'[3]Complete UFR List'!#REF!</definedName>
    <definedName name="UFRS" localSheetId="16">'[3]Complete UFR List'!#REF!</definedName>
    <definedName name="UFRS" localSheetId="15">'[3]Complete UFR List'!#REF!</definedName>
    <definedName name="UFRS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 localSheetId="18">'[3]Complete UFR List'!#REF!</definedName>
    <definedName name="wefqwerqwe" localSheetId="17">'[3]Complete UFR List'!#REF!</definedName>
    <definedName name="wefqwerqwe" localSheetId="0">'[3]Complete UFR List'!#REF!</definedName>
    <definedName name="wefqwerqwe">'[3]Complete UFR List'!#REF!</definedName>
    <definedName name="yes" localSheetId="8">'[3]Complete UFR List'!#REF!</definedName>
    <definedName name="yes" localSheetId="5">'[3]Complete UFR List'!#REF!</definedName>
    <definedName name="yes" localSheetId="7">'[3]Complete UFR List'!#REF!</definedName>
    <definedName name="yes" localSheetId="6">'[3]Complete UFR List'!#REF!</definedName>
    <definedName name="yes" localSheetId="4">'[3]Complete UFR List'!#REF!</definedName>
    <definedName name="yes" localSheetId="0">'[3]Complete UFR List'!#REF!</definedName>
    <definedName name="yes" localSheetId="9">'[3]Complete UFR List'!#REF!</definedName>
    <definedName name="yes" localSheetId="3">'[3]Complete UFR List'!#REF!</definedName>
    <definedName name="yes" localSheetId="2">'[3]Complete UFR List'!#REF!</definedName>
    <definedName name="yes" localSheetId="16">'[3]Complete UFR List'!#REF!</definedName>
    <definedName name="yes" localSheetId="12">'[3]Complete UFR List'!#REF!</definedName>
    <definedName name="yes" localSheetId="13">'[3]Complete UFR List'!#REF!</definedName>
    <definedName name="yes" localSheetId="10">'[3]Complete UFR List'!#REF!</definedName>
    <definedName name="yes" localSheetId="11">'[3]Complete UFR List'!#REF!</definedName>
    <definedName name="yes" localSheetId="15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26" l="1"/>
  <c r="C38" i="26"/>
  <c r="C33" i="26"/>
  <c r="C34" i="26" s="1"/>
  <c r="C31" i="26"/>
  <c r="C32" i="26" s="1"/>
  <c r="C30" i="26"/>
  <c r="C29" i="26"/>
  <c r="C27" i="26"/>
  <c r="C28" i="26" s="1"/>
  <c r="C25" i="26"/>
  <c r="C26" i="26" s="1"/>
  <c r="C23" i="26"/>
  <c r="C24" i="26" s="1"/>
  <c r="C22" i="26"/>
  <c r="C21" i="26"/>
  <c r="C19" i="26"/>
  <c r="C20" i="26" s="1"/>
  <c r="C17" i="26"/>
  <c r="C18" i="26" s="1"/>
  <c r="C15" i="26"/>
  <c r="C16" i="26" s="1"/>
  <c r="C14" i="26"/>
  <c r="C13" i="26"/>
  <c r="C11" i="26"/>
  <c r="C12" i="26" s="1"/>
  <c r="C9" i="26"/>
  <c r="C10" i="26" s="1"/>
  <c r="C7" i="26"/>
  <c r="C8" i="26" s="1"/>
  <c r="C6" i="26"/>
  <c r="C36" i="26" s="1"/>
  <c r="C5" i="26"/>
  <c r="E8" i="15" l="1"/>
  <c r="E33" i="15"/>
  <c r="J29" i="15"/>
  <c r="I29" i="15"/>
  <c r="I12" i="19" l="1"/>
  <c r="C12" i="17"/>
  <c r="E17" i="15" l="1"/>
  <c r="D37" i="15" s="1"/>
  <c r="E44" i="15" s="1"/>
  <c r="D11" i="15"/>
  <c r="C18" i="14"/>
  <c r="C11" i="14"/>
  <c r="C19" i="13"/>
  <c r="C11" i="13"/>
  <c r="B18" i="12"/>
  <c r="B11" i="12"/>
  <c r="B49" i="11"/>
  <c r="B42" i="11"/>
  <c r="D9" i="11"/>
  <c r="B19" i="11"/>
  <c r="B12" i="11"/>
  <c r="C12" i="10"/>
  <c r="C45" i="10"/>
  <c r="C39" i="10"/>
  <c r="C18" i="10"/>
  <c r="C19" i="9"/>
  <c r="C11" i="9"/>
  <c r="C19" i="8"/>
  <c r="C11" i="8"/>
  <c r="B11" i="7"/>
  <c r="B19" i="7"/>
  <c r="B19" i="6"/>
  <c r="B12" i="6" s="1"/>
  <c r="B11" i="5"/>
  <c r="D8" i="5"/>
  <c r="D32" i="4"/>
  <c r="B40" i="6" l="1"/>
  <c r="B47" i="6" s="1"/>
  <c r="H45" i="4"/>
  <c r="B11" i="4" s="1"/>
  <c r="A35" i="4"/>
  <c r="B45" i="3"/>
  <c r="A20" i="3" l="1"/>
  <c r="A45" i="3" s="1"/>
  <c r="B37" i="3" l="1"/>
  <c r="A37" i="3"/>
  <c r="C8" i="5"/>
  <c r="I38" i="5"/>
  <c r="E8" i="9" l="1"/>
  <c r="S19" i="25" l="1"/>
  <c r="E20" i="25" s="1"/>
  <c r="E19" i="25"/>
  <c r="H19" i="25" s="1"/>
  <c r="K19" i="25" s="1"/>
  <c r="N19" i="25" s="1"/>
  <c r="S17" i="25"/>
  <c r="N17" i="25" s="1"/>
  <c r="O17" i="25" s="1"/>
  <c r="H17" i="25"/>
  <c r="I17" i="25" s="1"/>
  <c r="E17" i="25"/>
  <c r="H15" i="25"/>
  <c r="I15" i="25" s="1"/>
  <c r="E15" i="25"/>
  <c r="B15" i="25"/>
  <c r="H16" i="25"/>
  <c r="I16" i="25" s="1"/>
  <c r="Q13" i="25"/>
  <c r="B16" i="25" s="1"/>
  <c r="E12" i="25"/>
  <c r="S9" i="25"/>
  <c r="W8" i="25"/>
  <c r="S8" i="25"/>
  <c r="X7" i="25"/>
  <c r="W7" i="25"/>
  <c r="S7" i="25"/>
  <c r="X6" i="25"/>
  <c r="W6" i="25"/>
  <c r="S6" i="25"/>
  <c r="F6" i="25"/>
  <c r="F15" i="25" s="1"/>
  <c r="E10" i="24"/>
  <c r="D10" i="24"/>
  <c r="F63" i="24"/>
  <c r="F56" i="24"/>
  <c r="J36" i="24"/>
  <c r="I36" i="24"/>
  <c r="C22" i="24" s="1"/>
  <c r="C14" i="24" s="1"/>
  <c r="I35" i="24"/>
  <c r="J34" i="24"/>
  <c r="I30" i="24"/>
  <c r="C13" i="24" s="1"/>
  <c r="H23" i="24"/>
  <c r="C23" i="24"/>
  <c r="D19" i="24"/>
  <c r="H14" i="24"/>
  <c r="D18" i="24"/>
  <c r="B18" i="24"/>
  <c r="D17" i="24"/>
  <c r="B17" i="24"/>
  <c r="I8" i="24"/>
  <c r="I7" i="24"/>
  <c r="I6" i="24"/>
  <c r="I5" i="24"/>
  <c r="E5" i="24"/>
  <c r="E10" i="23"/>
  <c r="D10" i="23"/>
  <c r="J35" i="23"/>
  <c r="I35" i="23"/>
  <c r="C21" i="23" s="1"/>
  <c r="I34" i="23"/>
  <c r="D16" i="23" s="1"/>
  <c r="E16" i="23" s="1"/>
  <c r="J33" i="23"/>
  <c r="J29" i="23"/>
  <c r="I29" i="23"/>
  <c r="C12" i="23" s="1"/>
  <c r="H26" i="23"/>
  <c r="S36" i="23"/>
  <c r="S37" i="23" s="1"/>
  <c r="C22" i="23"/>
  <c r="R31" i="23"/>
  <c r="Q31" i="23"/>
  <c r="P31" i="23"/>
  <c r="O31" i="23"/>
  <c r="N31" i="23"/>
  <c r="M31" i="23"/>
  <c r="L31" i="23"/>
  <c r="D19" i="23"/>
  <c r="H14" i="23"/>
  <c r="D18" i="23"/>
  <c r="B18" i="23"/>
  <c r="D17" i="23"/>
  <c r="E17" i="23" s="1"/>
  <c r="R24" i="23"/>
  <c r="Q24" i="23"/>
  <c r="P24" i="23"/>
  <c r="O24" i="23"/>
  <c r="N24" i="23"/>
  <c r="M24" i="23"/>
  <c r="L24" i="23"/>
  <c r="I8" i="23"/>
  <c r="I7" i="23"/>
  <c r="I6" i="23"/>
  <c r="I5" i="23"/>
  <c r="E5" i="23"/>
  <c r="E10" i="22"/>
  <c r="D10" i="22"/>
  <c r="J33" i="22"/>
  <c r="I33" i="22"/>
  <c r="C22" i="22" s="1"/>
  <c r="C13" i="22" s="1"/>
  <c r="J31" i="22"/>
  <c r="J27" i="22" a="1"/>
  <c r="J27" i="22" s="1"/>
  <c r="I27" i="22"/>
  <c r="C12" i="22" s="1"/>
  <c r="H24" i="22"/>
  <c r="H21" i="22"/>
  <c r="H20" i="22"/>
  <c r="C21" i="22"/>
  <c r="H17" i="22"/>
  <c r="S29" i="22"/>
  <c r="S30" i="22" s="1"/>
  <c r="D19" i="22"/>
  <c r="D18" i="22"/>
  <c r="B18" i="22"/>
  <c r="H14" i="22"/>
  <c r="D17" i="22"/>
  <c r="E17" i="22" s="1"/>
  <c r="D16" i="22"/>
  <c r="E16" i="22" s="1"/>
  <c r="R24" i="22"/>
  <c r="Q24" i="22"/>
  <c r="P24" i="22"/>
  <c r="O24" i="22"/>
  <c r="N24" i="22"/>
  <c r="M24" i="22"/>
  <c r="L24" i="22"/>
  <c r="R17" i="22"/>
  <c r="Q17" i="22"/>
  <c r="P17" i="22"/>
  <c r="O17" i="22"/>
  <c r="N17" i="22"/>
  <c r="M17" i="22"/>
  <c r="L17" i="22"/>
  <c r="I8" i="22"/>
  <c r="I7" i="22"/>
  <c r="I6" i="22"/>
  <c r="I5" i="22"/>
  <c r="E5" i="22"/>
  <c r="E10" i="21"/>
  <c r="D10" i="21"/>
  <c r="I29" i="21"/>
  <c r="I26" i="21"/>
  <c r="N39" i="21"/>
  <c r="N38" i="21"/>
  <c r="C12" i="21"/>
  <c r="C22" i="21"/>
  <c r="D19" i="21"/>
  <c r="D18" i="21"/>
  <c r="E18" i="21" s="1"/>
  <c r="D17" i="21"/>
  <c r="D16" i="21"/>
  <c r="E16" i="21" s="1"/>
  <c r="D15" i="21"/>
  <c r="E4" i="21"/>
  <c r="E18" i="23" l="1"/>
  <c r="C13" i="23"/>
  <c r="S10" i="25"/>
  <c r="S11" i="25" s="1"/>
  <c r="F17" i="25"/>
  <c r="O12" i="25"/>
  <c r="L12" i="25"/>
  <c r="I12" i="25"/>
  <c r="F12" i="25"/>
  <c r="H20" i="25"/>
  <c r="E13" i="25"/>
  <c r="E16" i="25"/>
  <c r="F16" i="25" s="1"/>
  <c r="F20" i="25" s="1"/>
  <c r="E19" i="24"/>
  <c r="D20" i="24"/>
  <c r="E17" i="24"/>
  <c r="I9" i="24"/>
  <c r="I10" i="24" s="1"/>
  <c r="H27" i="24" s="1"/>
  <c r="E18" i="24"/>
  <c r="S24" i="23"/>
  <c r="S25" i="23" s="1"/>
  <c r="S26" i="23" s="1"/>
  <c r="H22" i="23" s="1"/>
  <c r="S31" i="23"/>
  <c r="S32" i="23" s="1"/>
  <c r="S33" i="23" s="1"/>
  <c r="H23" i="23" s="1"/>
  <c r="I9" i="23"/>
  <c r="I10" i="23" s="1"/>
  <c r="E19" i="23"/>
  <c r="I9" i="22"/>
  <c r="I10" i="22" s="1"/>
  <c r="H25" i="22" s="1"/>
  <c r="E18" i="22"/>
  <c r="E22" i="22" s="1"/>
  <c r="S24" i="22"/>
  <c r="S25" i="22" s="1"/>
  <c r="S26" i="22" s="1"/>
  <c r="E19" i="22"/>
  <c r="S17" i="22"/>
  <c r="S18" i="22" s="1"/>
  <c r="S19" i="22" s="1"/>
  <c r="C21" i="21"/>
  <c r="C13" i="21" s="1"/>
  <c r="N40" i="21"/>
  <c r="E15" i="21"/>
  <c r="E17" i="21"/>
  <c r="E21" i="23" l="1"/>
  <c r="E22" i="24"/>
  <c r="O13" i="25"/>
  <c r="O14" i="25" s="1"/>
  <c r="O18" i="25" s="1"/>
  <c r="O19" i="25" s="1"/>
  <c r="L13" i="25"/>
  <c r="I13" i="25"/>
  <c r="F13" i="25"/>
  <c r="F14" i="25" s="1"/>
  <c r="F18" i="25" s="1"/>
  <c r="I14" i="25"/>
  <c r="I18" i="25" s="1"/>
  <c r="I19" i="25" s="1"/>
  <c r="L14" i="25"/>
  <c r="L18" i="25" s="1"/>
  <c r="L19" i="25" s="1"/>
  <c r="K20" i="25"/>
  <c r="I20" i="25"/>
  <c r="E13" i="24"/>
  <c r="H27" i="23"/>
  <c r="E19" i="21"/>
  <c r="E21" i="21" s="1"/>
  <c r="E12" i="21"/>
  <c r="E14" i="24" l="1"/>
  <c r="E15" i="24" s="1"/>
  <c r="E13" i="21"/>
  <c r="E14" i="21" s="1"/>
  <c r="E20" i="21" s="1"/>
  <c r="E22" i="21" s="1"/>
  <c r="F19" i="25"/>
  <c r="F21" i="25" s="1"/>
  <c r="F22" i="25" s="1"/>
  <c r="L20" i="25"/>
  <c r="L21" i="25" s="1"/>
  <c r="L24" i="25" s="1"/>
  <c r="N20" i="25"/>
  <c r="O20" i="25" s="1"/>
  <c r="O21" i="25" s="1"/>
  <c r="O24" i="25" s="1"/>
  <c r="I21" i="25"/>
  <c r="I22" i="25" s="1"/>
  <c r="E12" i="23"/>
  <c r="E12" i="22"/>
  <c r="E21" i="24" l="1"/>
  <c r="E23" i="24" s="1"/>
  <c r="D15" i="24"/>
  <c r="E13" i="22"/>
  <c r="E14" i="22" s="1"/>
  <c r="E20" i="22" s="1"/>
  <c r="E13" i="23"/>
  <c r="E14" i="23" s="1"/>
  <c r="E20" i="23" s="1"/>
  <c r="F23" i="25"/>
  <c r="E23" i="21"/>
  <c r="E24" i="21" s="1"/>
  <c r="E25" i="21" s="1"/>
  <c r="E22" i="23" l="1"/>
  <c r="E23" i="23" s="1"/>
  <c r="E24" i="23" s="1"/>
  <c r="E21" i="22"/>
  <c r="E23" i="22"/>
  <c r="E24" i="22" s="1"/>
  <c r="E24" i="24"/>
  <c r="E25" i="24" s="1"/>
  <c r="K7" i="20" l="1"/>
  <c r="J7" i="20"/>
  <c r="Q38" i="20"/>
  <c r="I19" i="20" s="1"/>
  <c r="I10" i="20" s="1"/>
  <c r="Q32" i="20"/>
  <c r="D25" i="20" s="1"/>
  <c r="Q31" i="20"/>
  <c r="Q26" i="20"/>
  <c r="D20" i="20" s="1"/>
  <c r="Q25" i="20"/>
  <c r="D19" i="20" s="1"/>
  <c r="C39" i="20"/>
  <c r="Q20" i="20"/>
  <c r="D14" i="20" s="1"/>
  <c r="D34" i="20"/>
  <c r="Q17" i="20"/>
  <c r="D11" i="20" s="1"/>
  <c r="D33" i="20"/>
  <c r="Q16" i="20"/>
  <c r="B8" i="20" s="1"/>
  <c r="E8" i="20" s="1"/>
  <c r="C30" i="20"/>
  <c r="C24" i="20"/>
  <c r="D26" i="20"/>
  <c r="C22" i="20"/>
  <c r="C20" i="20"/>
  <c r="D21" i="20"/>
  <c r="H19" i="20"/>
  <c r="I18" i="20"/>
  <c r="C16" i="20"/>
  <c r="C15" i="20"/>
  <c r="J16" i="20"/>
  <c r="D17" i="20"/>
  <c r="J15" i="20"/>
  <c r="D16" i="20"/>
  <c r="H14" i="20"/>
  <c r="D15" i="20"/>
  <c r="H13" i="20"/>
  <c r="C11" i="20"/>
  <c r="D13" i="20"/>
  <c r="I9" i="20"/>
  <c r="Q8" i="20"/>
  <c r="Q7" i="20"/>
  <c r="Q6" i="20"/>
  <c r="Q5" i="20"/>
  <c r="K3" i="20"/>
  <c r="K6" i="19"/>
  <c r="K5" i="19"/>
  <c r="K7" i="19"/>
  <c r="J7" i="19"/>
  <c r="C44" i="19"/>
  <c r="C48" i="19"/>
  <c r="C40" i="19"/>
  <c r="D35" i="19"/>
  <c r="D34" i="19"/>
  <c r="C31" i="19"/>
  <c r="C26" i="19"/>
  <c r="C23" i="19"/>
  <c r="C22" i="19"/>
  <c r="D25" i="19"/>
  <c r="N22" i="19"/>
  <c r="D21" i="19"/>
  <c r="C18" i="19"/>
  <c r="D20" i="19"/>
  <c r="I19" i="19"/>
  <c r="D18" i="19"/>
  <c r="C15" i="19"/>
  <c r="J17" i="19"/>
  <c r="D17" i="19"/>
  <c r="C14" i="19"/>
  <c r="D16" i="19"/>
  <c r="J14" i="19"/>
  <c r="D14" i="19"/>
  <c r="N13" i="19"/>
  <c r="D13" i="19"/>
  <c r="I11" i="19"/>
  <c r="R34" i="19" s="1"/>
  <c r="D11" i="19"/>
  <c r="S8" i="19"/>
  <c r="B8" i="19"/>
  <c r="E8" i="19" s="1"/>
  <c r="S7" i="19"/>
  <c r="S6" i="19"/>
  <c r="S5" i="19"/>
  <c r="I3" i="19"/>
  <c r="K3" i="19" s="1"/>
  <c r="G2" i="19"/>
  <c r="E20" i="20" l="1"/>
  <c r="E34" i="19"/>
  <c r="C16" i="19"/>
  <c r="E16" i="19" s="1"/>
  <c r="C13" i="19"/>
  <c r="E13" i="19" s="1"/>
  <c r="E14" i="19"/>
  <c r="D36" i="19"/>
  <c r="E18" i="19"/>
  <c r="Q9" i="20"/>
  <c r="Q10" i="20" s="1"/>
  <c r="Q29" i="20" s="1"/>
  <c r="E16" i="20"/>
  <c r="K16" i="20"/>
  <c r="C19" i="20"/>
  <c r="E19" i="20" s="1"/>
  <c r="C21" i="20"/>
  <c r="E21" i="20" s="1"/>
  <c r="K15" i="20"/>
  <c r="C14" i="20"/>
  <c r="E14" i="20" s="1"/>
  <c r="D35" i="20"/>
  <c r="E15" i="20"/>
  <c r="C26" i="20"/>
  <c r="E26" i="20" s="1"/>
  <c r="E11" i="20"/>
  <c r="E33" i="20"/>
  <c r="E34" i="20"/>
  <c r="K14" i="20"/>
  <c r="C17" i="20"/>
  <c r="E17" i="20" s="1"/>
  <c r="D24" i="20"/>
  <c r="E24" i="20" s="1"/>
  <c r="C13" i="20"/>
  <c r="E13" i="20" s="1"/>
  <c r="K13" i="20"/>
  <c r="C25" i="20"/>
  <c r="E25" i="20" s="1"/>
  <c r="C17" i="19"/>
  <c r="E17" i="19" s="1"/>
  <c r="C11" i="19"/>
  <c r="E11" i="19" s="1"/>
  <c r="I20" i="19"/>
  <c r="C25" i="19"/>
  <c r="E25" i="19" s="1"/>
  <c r="S9" i="19"/>
  <c r="S10" i="19" s="1"/>
  <c r="K15" i="19"/>
  <c r="K16" i="19"/>
  <c r="D26" i="19"/>
  <c r="E26" i="19" s="1"/>
  <c r="K14" i="19"/>
  <c r="D22" i="19"/>
  <c r="E22" i="19" s="1"/>
  <c r="K17" i="19"/>
  <c r="C21" i="19"/>
  <c r="E21" i="19" s="1"/>
  <c r="E35" i="19"/>
  <c r="C20" i="19"/>
  <c r="E20" i="19" s="1"/>
  <c r="K19" i="20" l="1"/>
  <c r="K20" i="19"/>
  <c r="K8" i="20"/>
  <c r="D22" i="20"/>
  <c r="J8" i="20"/>
  <c r="J6" i="19"/>
  <c r="J8" i="19" s="1"/>
  <c r="K9" i="20" l="1"/>
  <c r="K10" i="20"/>
  <c r="K11" i="20" s="1"/>
  <c r="D23" i="19"/>
  <c r="E23" i="19" s="1"/>
  <c r="D15" i="19"/>
  <c r="S34" i="19"/>
  <c r="D27" i="20"/>
  <c r="E22" i="20"/>
  <c r="E27" i="20" s="1"/>
  <c r="E30" i="20" s="1"/>
  <c r="E31" i="20" s="1"/>
  <c r="K8" i="19"/>
  <c r="K17" i="20" l="1"/>
  <c r="K18" i="20" s="1"/>
  <c r="K11" i="19"/>
  <c r="K12" i="19"/>
  <c r="K13" i="19" s="1"/>
  <c r="D27" i="19"/>
  <c r="E15" i="19"/>
  <c r="E27" i="19" s="1"/>
  <c r="E31" i="19" s="1"/>
  <c r="E32" i="19" s="1"/>
  <c r="E38" i="19" s="1"/>
  <c r="K20" i="20"/>
  <c r="L22" i="20" s="1"/>
  <c r="D31" i="20"/>
  <c r="E37" i="20"/>
  <c r="N14" i="19" l="1"/>
  <c r="N16" i="19"/>
  <c r="M16" i="19"/>
  <c r="K18" i="19"/>
  <c r="K19" i="19" s="1"/>
  <c r="D32" i="19"/>
  <c r="E41" i="20"/>
  <c r="E39" i="20"/>
  <c r="O16" i="19"/>
  <c r="E42" i="19"/>
  <c r="E40" i="19"/>
  <c r="K21" i="19" l="1"/>
  <c r="E43" i="20"/>
  <c r="D50" i="20"/>
  <c r="E50" i="20" s="1"/>
  <c r="D48" i="20"/>
  <c r="E48" i="20" s="1"/>
  <c r="D49" i="20"/>
  <c r="E49" i="20" s="1"/>
  <c r="D46" i="20"/>
  <c r="E46" i="20" s="1"/>
  <c r="F47" i="20" s="1"/>
  <c r="F48" i="20" s="1"/>
  <c r="D54" i="19"/>
  <c r="E54" i="19" s="1"/>
  <c r="D53" i="19"/>
  <c r="E53" i="19" s="1"/>
  <c r="D52" i="19"/>
  <c r="E52" i="19" s="1"/>
  <c r="E44" i="19"/>
  <c r="D55" i="19"/>
  <c r="E55" i="19" s="1"/>
  <c r="D49" i="19"/>
  <c r="E49" i="19" s="1"/>
  <c r="D47" i="19"/>
  <c r="E47" i="19" s="1"/>
  <c r="F48" i="19" s="1"/>
  <c r="D51" i="19"/>
  <c r="E51" i="19" s="1"/>
  <c r="L23" i="19" l="1"/>
  <c r="F55" i="19"/>
  <c r="F49" i="19"/>
  <c r="F53" i="19"/>
  <c r="F54" i="19"/>
  <c r="F51" i="19"/>
  <c r="F52" i="19"/>
  <c r="D10" i="17" l="1"/>
  <c r="E8" i="17"/>
  <c r="E10" i="17" s="1"/>
  <c r="I22" i="17"/>
  <c r="D17" i="17"/>
  <c r="D16" i="17"/>
  <c r="D14" i="17"/>
  <c r="E14" i="17" s="1"/>
  <c r="C11" i="17"/>
  <c r="J17" i="17"/>
  <c r="J15" i="17"/>
  <c r="J9" i="17"/>
  <c r="J7" i="17"/>
  <c r="J6" i="17"/>
  <c r="B17" i="17"/>
  <c r="B16" i="17"/>
  <c r="B14" i="17"/>
  <c r="B11" i="17"/>
  <c r="F8" i="16"/>
  <c r="F10" i="16" s="1"/>
  <c r="E8" i="16"/>
  <c r="E10" i="16" s="1"/>
  <c r="K84" i="16"/>
  <c r="K83" i="16"/>
  <c r="D55" i="16"/>
  <c r="K82" i="16"/>
  <c r="D54" i="16"/>
  <c r="D20" i="16" s="1"/>
  <c r="K81" i="16"/>
  <c r="D53" i="16"/>
  <c r="E18" i="16" s="1"/>
  <c r="K80" i="16"/>
  <c r="D52" i="16"/>
  <c r="E17" i="16" s="1"/>
  <c r="K79" i="16"/>
  <c r="D51" i="16"/>
  <c r="E16" i="16" s="1"/>
  <c r="K78" i="16"/>
  <c r="D50" i="16"/>
  <c r="E15" i="16" s="1"/>
  <c r="D49" i="16"/>
  <c r="E14" i="16" s="1"/>
  <c r="D48" i="16"/>
  <c r="D11" i="16" s="1"/>
  <c r="C18" i="16"/>
  <c r="C17" i="16"/>
  <c r="C16" i="16"/>
  <c r="C15" i="16"/>
  <c r="C14" i="16"/>
  <c r="K7" i="16"/>
  <c r="K6" i="16"/>
  <c r="F5" i="16"/>
  <c r="L82" i="16" s="1"/>
  <c r="E17" i="17" l="1"/>
  <c r="D22" i="16"/>
  <c r="D12" i="16"/>
  <c r="M82" i="16"/>
  <c r="F17" i="16"/>
  <c r="F18" i="16"/>
  <c r="F15" i="16"/>
  <c r="K8" i="16"/>
  <c r="L8" i="16" s="1"/>
  <c r="L79" i="16"/>
  <c r="M79" i="16" s="1"/>
  <c r="F16" i="16"/>
  <c r="L81" i="16"/>
  <c r="M81" i="16" s="1"/>
  <c r="L83" i="16"/>
  <c r="M83" i="16" s="1"/>
  <c r="L84" i="16"/>
  <c r="M84" i="16" s="1"/>
  <c r="L78" i="16"/>
  <c r="M78" i="16" s="1"/>
  <c r="L80" i="16"/>
  <c r="M80" i="16" s="1"/>
  <c r="F14" i="16" l="1"/>
  <c r="F22" i="16" s="1"/>
  <c r="F11" i="16"/>
  <c r="F12" i="16" l="1"/>
  <c r="F13" i="16" s="1"/>
  <c r="F19" i="16" s="1"/>
  <c r="F20" i="16" s="1"/>
  <c r="E11" i="17"/>
  <c r="E12" i="17" l="1"/>
  <c r="E13" i="17" s="1"/>
  <c r="E15" i="17" s="1"/>
  <c r="F21" i="16"/>
  <c r="F23" i="16" s="1"/>
  <c r="F24" i="16" s="1"/>
  <c r="F26" i="16" s="1"/>
  <c r="F25" i="16" l="1"/>
  <c r="F33" i="15" l="1"/>
  <c r="F8" i="15"/>
  <c r="E16" i="15"/>
  <c r="H34" i="15"/>
  <c r="B14" i="15" s="1"/>
  <c r="J33" i="15"/>
  <c r="H33" i="15"/>
  <c r="J31" i="15"/>
  <c r="D36" i="15" s="1"/>
  <c r="E40" i="15"/>
  <c r="E14" i="15"/>
  <c r="J8" i="15"/>
  <c r="J7" i="15"/>
  <c r="J6" i="15"/>
  <c r="J5" i="15"/>
  <c r="F3" i="15"/>
  <c r="E8" i="14"/>
  <c r="D8" i="14"/>
  <c r="I34" i="14"/>
  <c r="D14" i="14" s="1"/>
  <c r="G34" i="14"/>
  <c r="I33" i="14"/>
  <c r="D13" i="14" s="1"/>
  <c r="G33" i="14"/>
  <c r="I31" i="14"/>
  <c r="C10" i="14" s="1"/>
  <c r="C17" i="14"/>
  <c r="D15" i="14"/>
  <c r="I8" i="14"/>
  <c r="I7" i="14"/>
  <c r="I6" i="14"/>
  <c r="I5" i="14"/>
  <c r="E3" i="14"/>
  <c r="E8" i="13"/>
  <c r="D8" i="13"/>
  <c r="C18" i="13"/>
  <c r="D15" i="13"/>
  <c r="G40" i="13"/>
  <c r="D14" i="13"/>
  <c r="G39" i="13"/>
  <c r="C10" i="13"/>
  <c r="D16" i="13"/>
  <c r="I8" i="13"/>
  <c r="I7" i="13"/>
  <c r="I6" i="13"/>
  <c r="I5" i="13"/>
  <c r="E3" i="13"/>
  <c r="C8" i="12"/>
  <c r="D8" i="12"/>
  <c r="B17" i="12"/>
  <c r="C14" i="12"/>
  <c r="F41" i="12"/>
  <c r="A14" i="12" s="1"/>
  <c r="F40" i="12"/>
  <c r="B10" i="12"/>
  <c r="C15" i="12"/>
  <c r="H8" i="12"/>
  <c r="H7" i="12"/>
  <c r="H6" i="12"/>
  <c r="H5" i="12"/>
  <c r="D3" i="12"/>
  <c r="D39" i="11"/>
  <c r="C39" i="11"/>
  <c r="C9" i="11"/>
  <c r="B18" i="11"/>
  <c r="H44" i="11"/>
  <c r="C46" i="11"/>
  <c r="F42" i="11"/>
  <c r="C45" i="11"/>
  <c r="F41" i="11"/>
  <c r="B11" i="11"/>
  <c r="B41" i="11" s="1"/>
  <c r="D33" i="11"/>
  <c r="H9" i="11"/>
  <c r="H8" i="11"/>
  <c r="H7" i="11"/>
  <c r="H6" i="11"/>
  <c r="D4" i="11"/>
  <c r="E36" i="10"/>
  <c r="D36" i="10"/>
  <c r="E9" i="10"/>
  <c r="D9" i="10"/>
  <c r="C44" i="10"/>
  <c r="I42" i="10"/>
  <c r="D42" i="10"/>
  <c r="G41" i="10"/>
  <c r="G40" i="10"/>
  <c r="C38" i="10"/>
  <c r="E31" i="10"/>
  <c r="I9" i="10"/>
  <c r="I8" i="10"/>
  <c r="I7" i="10"/>
  <c r="I6" i="10"/>
  <c r="E4" i="10"/>
  <c r="F40" i="15" l="1"/>
  <c r="D15" i="12"/>
  <c r="H9" i="12"/>
  <c r="H10" i="12" s="1"/>
  <c r="G34" i="12" s="1"/>
  <c r="E16" i="13"/>
  <c r="C16" i="11"/>
  <c r="H43" i="12"/>
  <c r="I42" i="13"/>
  <c r="F36" i="15"/>
  <c r="J35" i="15"/>
  <c r="D10" i="15"/>
  <c r="E41" i="15"/>
  <c r="F41" i="15" s="1"/>
  <c r="F44" i="15" s="1"/>
  <c r="E13" i="15"/>
  <c r="J9" i="15"/>
  <c r="J10" i="15" s="1"/>
  <c r="I28" i="15" s="1"/>
  <c r="F14" i="15"/>
  <c r="E15" i="14"/>
  <c r="I36" i="14"/>
  <c r="I9" i="14"/>
  <c r="I10" i="14" s="1"/>
  <c r="E14" i="14"/>
  <c r="E13" i="14"/>
  <c r="E10" i="14"/>
  <c r="E14" i="13"/>
  <c r="E19" i="13" s="1"/>
  <c r="I9" i="13"/>
  <c r="I10" i="13" s="1"/>
  <c r="E15" i="13"/>
  <c r="C13" i="12"/>
  <c r="D13" i="12" s="1"/>
  <c r="D18" i="12" s="1"/>
  <c r="D14" i="12"/>
  <c r="C15" i="11"/>
  <c r="D15" i="11" s="1"/>
  <c r="H10" i="11"/>
  <c r="H11" i="11" s="1"/>
  <c r="G36" i="11" s="1"/>
  <c r="D45" i="11"/>
  <c r="D46" i="11"/>
  <c r="D16" i="11"/>
  <c r="B48" i="11"/>
  <c r="I43" i="10"/>
  <c r="D15" i="10"/>
  <c r="E15" i="10" s="1"/>
  <c r="C11" i="10"/>
  <c r="C17" i="10"/>
  <c r="E42" i="10"/>
  <c r="D14" i="10"/>
  <c r="E14" i="10" s="1"/>
  <c r="D41" i="10"/>
  <c r="E41" i="10" s="1"/>
  <c r="I10" i="10"/>
  <c r="I11" i="10" s="1"/>
  <c r="H33" i="10" s="1"/>
  <c r="D49" i="11" l="1"/>
  <c r="E18" i="14"/>
  <c r="D19" i="11"/>
  <c r="F37" i="15"/>
  <c r="F38" i="15" s="1"/>
  <c r="F42" i="15" s="1"/>
  <c r="E11" i="14"/>
  <c r="E12" i="14" s="1"/>
  <c r="E16" i="14" s="1"/>
  <c r="E17" i="14" s="1"/>
  <c r="F13" i="15"/>
  <c r="F17" i="15" s="1"/>
  <c r="F10" i="15"/>
  <c r="E10" i="13"/>
  <c r="D10" i="12"/>
  <c r="D11" i="11"/>
  <c r="E11" i="10"/>
  <c r="E11" i="13" l="1"/>
  <c r="E12" i="13" s="1"/>
  <c r="E17" i="13" s="1"/>
  <c r="D13" i="11"/>
  <c r="D17" i="11" s="1"/>
  <c r="D11" i="12"/>
  <c r="D12" i="12" s="1"/>
  <c r="F11" i="15"/>
  <c r="F12" i="15" s="1"/>
  <c r="F15" i="15" s="1"/>
  <c r="F16" i="15" s="1"/>
  <c r="F43" i="15"/>
  <c r="F45" i="15" s="1"/>
  <c r="F47" i="15" s="1"/>
  <c r="D12" i="11"/>
  <c r="E13" i="10"/>
  <c r="E16" i="10" s="1"/>
  <c r="E12" i="10"/>
  <c r="E18" i="10"/>
  <c r="D41" i="11"/>
  <c r="E38" i="10"/>
  <c r="E17" i="10"/>
  <c r="C12" i="12" l="1"/>
  <c r="D16" i="12"/>
  <c r="D18" i="11"/>
  <c r="D20" i="11"/>
  <c r="E18" i="13"/>
  <c r="E20" i="13"/>
  <c r="E22" i="13" s="1"/>
  <c r="E23" i="13" s="1"/>
  <c r="D42" i="11"/>
  <c r="D43" i="11" s="1"/>
  <c r="D47" i="11" s="1"/>
  <c r="F18" i="15"/>
  <c r="F20" i="15" s="1"/>
  <c r="F21" i="15" s="1"/>
  <c r="E19" i="14"/>
  <c r="E21" i="14" s="1"/>
  <c r="E40" i="10"/>
  <c r="E39" i="10"/>
  <c r="E43" i="10"/>
  <c r="E44" i="10" s="1"/>
  <c r="E45" i="10"/>
  <c r="E46" i="10" s="1"/>
  <c r="E19" i="10"/>
  <c r="E21" i="10" s="1"/>
  <c r="E22" i="10" s="1"/>
  <c r="D48" i="11" l="1"/>
  <c r="D50" i="11"/>
  <c r="D17" i="12"/>
  <c r="D19" i="12"/>
  <c r="D21" i="12" s="1"/>
  <c r="D23" i="12" s="1"/>
  <c r="E22" i="14"/>
  <c r="E23" i="14"/>
  <c r="D22" i="11"/>
  <c r="E48" i="10"/>
  <c r="E24" i="13"/>
  <c r="E23" i="10"/>
  <c r="D22" i="12" l="1"/>
  <c r="D24" i="11"/>
  <c r="D23" i="11"/>
  <c r="D52" i="11"/>
  <c r="E50" i="10"/>
  <c r="F80" i="10" s="1"/>
  <c r="E49" i="10"/>
  <c r="F79" i="10" s="1"/>
  <c r="D53" i="11" l="1"/>
  <c r="E81" i="11" s="1"/>
  <c r="D54" i="11"/>
  <c r="E82" i="11" s="1"/>
  <c r="D8" i="9"/>
  <c r="C18" i="9" l="1"/>
  <c r="D16" i="9"/>
  <c r="D15" i="9"/>
  <c r="G39" i="9"/>
  <c r="G38" i="9"/>
  <c r="C10" i="9"/>
  <c r="I8" i="9"/>
  <c r="I7" i="9"/>
  <c r="I6" i="9"/>
  <c r="I5" i="9"/>
  <c r="E3" i="9"/>
  <c r="E8" i="8"/>
  <c r="D8" i="8"/>
  <c r="C18" i="8"/>
  <c r="I44" i="8"/>
  <c r="I42" i="8"/>
  <c r="D15" i="8" s="1"/>
  <c r="I41" i="8"/>
  <c r="D14" i="8" s="1"/>
  <c r="I39" i="8"/>
  <c r="C10" i="8" s="1"/>
  <c r="D16" i="8"/>
  <c r="I8" i="8"/>
  <c r="I7" i="8"/>
  <c r="I6" i="8"/>
  <c r="I5" i="8"/>
  <c r="E3" i="8"/>
  <c r="D8" i="7"/>
  <c r="C8" i="7"/>
  <c r="C15" i="7"/>
  <c r="B10" i="7"/>
  <c r="B18" i="7"/>
  <c r="C16" i="7"/>
  <c r="H8" i="7"/>
  <c r="H7" i="7"/>
  <c r="H6" i="7"/>
  <c r="H5" i="7"/>
  <c r="D3" i="7"/>
  <c r="D9" i="6"/>
  <c r="C9" i="6"/>
  <c r="D37" i="6"/>
  <c r="C37" i="6"/>
  <c r="I53" i="6"/>
  <c r="F53" i="6"/>
  <c r="D32" i="6"/>
  <c r="I51" i="6"/>
  <c r="B18" i="6"/>
  <c r="F51" i="6"/>
  <c r="H49" i="6"/>
  <c r="F49" i="6"/>
  <c r="I48" i="6"/>
  <c r="F48" i="6"/>
  <c r="I47" i="6"/>
  <c r="C15" i="6"/>
  <c r="C43" i="6" s="1"/>
  <c r="F47" i="6"/>
  <c r="A43" i="6" s="1"/>
  <c r="I46" i="6"/>
  <c r="C14" i="6"/>
  <c r="C42" i="6" s="1"/>
  <c r="F46" i="6"/>
  <c r="I44" i="6"/>
  <c r="B11" i="6"/>
  <c r="F44" i="6"/>
  <c r="F43" i="6"/>
  <c r="I41" i="6"/>
  <c r="F41" i="6"/>
  <c r="I40" i="6"/>
  <c r="F40" i="6"/>
  <c r="I39" i="6"/>
  <c r="F39" i="6"/>
  <c r="I38" i="6"/>
  <c r="F38" i="6"/>
  <c r="I37" i="6"/>
  <c r="F37" i="6"/>
  <c r="I36" i="6"/>
  <c r="F36" i="6"/>
  <c r="C16" i="6"/>
  <c r="C44" i="6" s="1"/>
  <c r="I35" i="6"/>
  <c r="F35" i="6"/>
  <c r="I34" i="6"/>
  <c r="F34" i="6"/>
  <c r="I33" i="6"/>
  <c r="F33" i="6"/>
  <c r="I30" i="6"/>
  <c r="F32" i="6"/>
  <c r="F28" i="6"/>
  <c r="I27" i="6"/>
  <c r="F27" i="6"/>
  <c r="I26" i="6"/>
  <c r="F26" i="6"/>
  <c r="I25" i="6"/>
  <c r="F25" i="6"/>
  <c r="F24" i="6"/>
  <c r="F23" i="6"/>
  <c r="F22" i="6"/>
  <c r="F20" i="6"/>
  <c r="F19" i="6"/>
  <c r="F18" i="6"/>
  <c r="F16" i="6"/>
  <c r="H9" i="6"/>
  <c r="H8" i="6"/>
  <c r="H7" i="6"/>
  <c r="H6" i="6"/>
  <c r="D4" i="6"/>
  <c r="I41" i="9" l="1"/>
  <c r="D14" i="9"/>
  <c r="E14" i="9" s="1"/>
  <c r="E16" i="9"/>
  <c r="E19" i="9" s="1"/>
  <c r="H47" i="7"/>
  <c r="C14" i="7"/>
  <c r="D14" i="7" s="1"/>
  <c r="E15" i="8"/>
  <c r="I9" i="9"/>
  <c r="I10" i="9" s="1"/>
  <c r="E15" i="9"/>
  <c r="E10" i="9"/>
  <c r="E14" i="8"/>
  <c r="E16" i="8"/>
  <c r="I9" i="8"/>
  <c r="I10" i="8" s="1"/>
  <c r="H36" i="8" s="1"/>
  <c r="H9" i="7"/>
  <c r="H10" i="7" s="1"/>
  <c r="G39" i="7" s="1"/>
  <c r="D15" i="7"/>
  <c r="D16" i="7"/>
  <c r="D11" i="6"/>
  <c r="D12" i="6" s="1"/>
  <c r="D42" i="6"/>
  <c r="D44" i="6"/>
  <c r="D43" i="6"/>
  <c r="D14" i="6"/>
  <c r="H10" i="6"/>
  <c r="H11" i="6" s="1"/>
  <c r="B46" i="6"/>
  <c r="D16" i="6"/>
  <c r="A15" i="6"/>
  <c r="B39" i="6"/>
  <c r="D15" i="6"/>
  <c r="E11" i="9" l="1"/>
  <c r="E12" i="9"/>
  <c r="E17" i="9" s="1"/>
  <c r="D13" i="6"/>
  <c r="D47" i="6"/>
  <c r="D19" i="6"/>
  <c r="E19" i="8"/>
  <c r="D19" i="7"/>
  <c r="E10" i="8"/>
  <c r="E11" i="8" s="1"/>
  <c r="E12" i="8" s="1"/>
  <c r="E17" i="8" s="1"/>
  <c r="E18" i="8" s="1"/>
  <c r="E20" i="8" s="1"/>
  <c r="D10" i="7"/>
  <c r="D39" i="6"/>
  <c r="D40" i="6" l="1"/>
  <c r="D41" i="6" s="1"/>
  <c r="D45" i="6" s="1"/>
  <c r="E18" i="9"/>
  <c r="E20" i="9" s="1"/>
  <c r="E22" i="9" s="1"/>
  <c r="D11" i="7"/>
  <c r="D12" i="7" s="1"/>
  <c r="D17" i="6"/>
  <c r="D46" i="6" l="1"/>
  <c r="D48" i="6" s="1"/>
  <c r="D50" i="6" s="1"/>
  <c r="D18" i="6"/>
  <c r="D20" i="6" s="1"/>
  <c r="D17" i="7"/>
  <c r="E22" i="8"/>
  <c r="D18" i="7" l="1"/>
  <c r="D20" i="7" s="1"/>
  <c r="D22" i="7" s="1"/>
  <c r="D22" i="6"/>
  <c r="D52" i="6"/>
  <c r="E102" i="6" s="1"/>
  <c r="D51" i="6"/>
  <c r="E101" i="6" s="1"/>
  <c r="D24" i="6" l="1"/>
  <c r="D23" i="6"/>
  <c r="H51" i="5" l="1"/>
  <c r="B18" i="5" s="1"/>
  <c r="C15" i="5"/>
  <c r="F47" i="5"/>
  <c r="F46" i="5"/>
  <c r="B10" i="5"/>
  <c r="I41" i="5"/>
  <c r="F41" i="5"/>
  <c r="I40" i="5"/>
  <c r="F40" i="5"/>
  <c r="I39" i="5"/>
  <c r="F39" i="5"/>
  <c r="I37" i="5"/>
  <c r="F37" i="5"/>
  <c r="I36" i="5"/>
  <c r="F36" i="5"/>
  <c r="I35" i="5"/>
  <c r="F35" i="5"/>
  <c r="I34" i="5"/>
  <c r="F34" i="5"/>
  <c r="C16" i="5"/>
  <c r="I33" i="5"/>
  <c r="F33" i="5"/>
  <c r="A15" i="5"/>
  <c r="I32" i="5"/>
  <c r="F32" i="5"/>
  <c r="C14" i="5"/>
  <c r="F31" i="5"/>
  <c r="C13" i="5"/>
  <c r="I29" i="5"/>
  <c r="F29" i="5"/>
  <c r="I28" i="5"/>
  <c r="F28" i="5"/>
  <c r="I27" i="5"/>
  <c r="F27" i="5"/>
  <c r="I26" i="5"/>
  <c r="F26" i="5"/>
  <c r="I25" i="5"/>
  <c r="F25" i="5"/>
  <c r="I24" i="5"/>
  <c r="F24" i="5"/>
  <c r="F23" i="5"/>
  <c r="I21" i="5"/>
  <c r="F21" i="5"/>
  <c r="I20" i="5"/>
  <c r="F20" i="5"/>
  <c r="I19" i="5"/>
  <c r="F19" i="5"/>
  <c r="F18" i="5"/>
  <c r="F16" i="5"/>
  <c r="H8" i="5"/>
  <c r="H7" i="5"/>
  <c r="H6" i="5"/>
  <c r="H5" i="5"/>
  <c r="D3" i="5"/>
  <c r="D8" i="4"/>
  <c r="C30" i="4"/>
  <c r="C31" i="4"/>
  <c r="C29" i="4"/>
  <c r="A31" i="4"/>
  <c r="D27" i="4"/>
  <c r="D3" i="4"/>
  <c r="C8" i="4"/>
  <c r="B42" i="4"/>
  <c r="C14" i="4"/>
  <c r="F41" i="4"/>
  <c r="F40" i="4"/>
  <c r="B10" i="4"/>
  <c r="B34" i="4" s="1"/>
  <c r="A18" i="4"/>
  <c r="C15" i="4"/>
  <c r="C40" i="4" s="1"/>
  <c r="A15" i="4"/>
  <c r="A40" i="4" s="1"/>
  <c r="H9" i="4"/>
  <c r="H8" i="4"/>
  <c r="H7" i="4"/>
  <c r="H6" i="4"/>
  <c r="C32" i="4" l="1"/>
  <c r="D13" i="5"/>
  <c r="D14" i="5"/>
  <c r="H49" i="5"/>
  <c r="H9" i="5"/>
  <c r="H10" i="5" s="1"/>
  <c r="D16" i="5"/>
  <c r="D15" i="5"/>
  <c r="D34" i="4"/>
  <c r="H43" i="4"/>
  <c r="B18" i="4"/>
  <c r="B43" i="4" s="1"/>
  <c r="C13" i="4"/>
  <c r="D13" i="4" s="1"/>
  <c r="H10" i="4"/>
  <c r="H11" i="4" s="1"/>
  <c r="D14" i="4"/>
  <c r="D40" i="4"/>
  <c r="C39" i="4"/>
  <c r="D39" i="4" s="1"/>
  <c r="D15" i="4"/>
  <c r="B17" i="4"/>
  <c r="D18" i="4" l="1"/>
  <c r="D19" i="5"/>
  <c r="D35" i="4"/>
  <c r="D36" i="4" s="1"/>
  <c r="C38" i="4"/>
  <c r="D38" i="4" s="1"/>
  <c r="D43" i="4" s="1"/>
  <c r="D10" i="4" l="1"/>
  <c r="D11" i="4" l="1"/>
  <c r="D12" i="4" s="1"/>
  <c r="D16" i="4" s="1"/>
  <c r="D41" i="4"/>
  <c r="D17" i="4" l="1"/>
  <c r="D19" i="4" s="1"/>
  <c r="D21" i="4" s="1"/>
  <c r="D22" i="4" s="1"/>
  <c r="D42" i="4"/>
  <c r="D44" i="4" s="1"/>
  <c r="D46" i="4" l="1"/>
  <c r="D47" i="4" s="1"/>
  <c r="D32" i="3" l="1"/>
  <c r="D35" i="3" s="1"/>
  <c r="C32" i="3"/>
  <c r="C35" i="3" s="1"/>
  <c r="D30" i="3"/>
  <c r="D5" i="3"/>
  <c r="D10" i="3"/>
  <c r="A42" i="3"/>
  <c r="H48" i="3"/>
  <c r="H47" i="3"/>
  <c r="B44" i="3" s="1"/>
  <c r="C16" i="3"/>
  <c r="C41" i="3" s="1"/>
  <c r="F44" i="3"/>
  <c r="A16" i="3" s="1"/>
  <c r="C15" i="3"/>
  <c r="C40" i="3" s="1"/>
  <c r="F43" i="3"/>
  <c r="A15" i="3" s="1"/>
  <c r="B11" i="3"/>
  <c r="D11" i="3" s="1"/>
  <c r="C17" i="3"/>
  <c r="C42" i="3" s="1"/>
  <c r="H10" i="3"/>
  <c r="H9" i="3"/>
  <c r="H8" i="3"/>
  <c r="H7" i="3"/>
  <c r="M36" i="2"/>
  <c r="D36" i="2"/>
  <c r="M35" i="2"/>
  <c r="M37" i="2" s="1"/>
  <c r="M38" i="2" s="1"/>
  <c r="D35" i="2"/>
  <c r="L31" i="2"/>
  <c r="K31" i="2"/>
  <c r="J31" i="2"/>
  <c r="I31" i="2"/>
  <c r="H31" i="2"/>
  <c r="G31" i="2"/>
  <c r="E31" i="2"/>
  <c r="D31" i="2"/>
  <c r="C31" i="2"/>
  <c r="B31" i="2"/>
  <c r="O19" i="2"/>
  <c r="N18" i="2"/>
  <c r="M18" i="2"/>
  <c r="L18" i="2"/>
  <c r="L9" i="2"/>
  <c r="K4" i="2"/>
  <c r="K19" i="2" s="1"/>
  <c r="L19" i="2" s="1"/>
  <c r="M19" i="2" s="1"/>
  <c r="N19" i="2" s="1"/>
  <c r="J4" i="2"/>
  <c r="J19" i="2" s="1"/>
  <c r="I4" i="2"/>
  <c r="I19" i="2" s="1"/>
  <c r="H4" i="2"/>
  <c r="G4" i="2"/>
  <c r="G19" i="2" s="1"/>
  <c r="F4" i="2"/>
  <c r="F19" i="2" s="1"/>
  <c r="E4" i="2"/>
  <c r="E19" i="2" s="1"/>
  <c r="D4" i="2"/>
  <c r="D19" i="2" s="1"/>
  <c r="C4" i="2"/>
  <c r="C19" i="2" s="1"/>
  <c r="B4" i="2"/>
  <c r="B19" i="2" s="1"/>
  <c r="K3" i="2"/>
  <c r="K18" i="2" s="1"/>
  <c r="J3" i="2"/>
  <c r="J18" i="2" s="1"/>
  <c r="I3" i="2"/>
  <c r="I18" i="2" s="1"/>
  <c r="H3" i="2"/>
  <c r="H18" i="2" s="1"/>
  <c r="G3" i="2"/>
  <c r="G18" i="2" s="1"/>
  <c r="F3" i="2"/>
  <c r="F18" i="2" s="1"/>
  <c r="E3" i="2"/>
  <c r="E18" i="2" s="1"/>
  <c r="D3" i="2"/>
  <c r="D18" i="2" s="1"/>
  <c r="C3" i="2"/>
  <c r="C18" i="2" s="1"/>
  <c r="B3" i="2"/>
  <c r="B18" i="2" s="1"/>
  <c r="CG22" i="1"/>
  <c r="CF22" i="1"/>
  <c r="CE22" i="1"/>
  <c r="CD22" i="1"/>
  <c r="CC22" i="1"/>
  <c r="CB22" i="1"/>
  <c r="CA22" i="1"/>
  <c r="BZ22" i="1"/>
  <c r="CI22" i="1" s="1"/>
  <c r="CI24" i="1" s="1"/>
  <c r="CG21" i="1"/>
  <c r="CF21" i="1"/>
  <c r="CE21" i="1"/>
  <c r="CD21" i="1"/>
  <c r="CC21" i="1"/>
  <c r="CB21" i="1"/>
  <c r="CA21" i="1"/>
  <c r="BZ21" i="1"/>
  <c r="BZ18" i="1"/>
  <c r="CI18" i="1" s="1"/>
  <c r="BZ17" i="1"/>
  <c r="D12" i="3" l="1"/>
  <c r="D13" i="3"/>
  <c r="H11" i="3"/>
  <c r="H12" i="3" s="1"/>
  <c r="D37" i="2"/>
  <c r="D38" i="2" s="1"/>
  <c r="D25" i="2" s="1"/>
  <c r="C20" i="2"/>
  <c r="C21" i="2" s="1"/>
  <c r="C22" i="2" s="1"/>
  <c r="C23" i="2" s="1"/>
  <c r="K20" i="2"/>
  <c r="K21" i="2" s="1"/>
  <c r="K22" i="2" s="1"/>
  <c r="K23" i="2" s="1"/>
  <c r="D16" i="3"/>
  <c r="D17" i="3"/>
  <c r="D15" i="3"/>
  <c r="B19" i="3"/>
  <c r="D41" i="3"/>
  <c r="D40" i="3"/>
  <c r="D42" i="3"/>
  <c r="H46" i="3"/>
  <c r="C10" i="3"/>
  <c r="H5" i="2"/>
  <c r="H6" i="2" s="1"/>
  <c r="H7" i="2" s="1"/>
  <c r="H8" i="2" s="1"/>
  <c r="H10" i="2" s="1"/>
  <c r="E5" i="2"/>
  <c r="E6" i="2" s="1"/>
  <c r="E7" i="2" s="1"/>
  <c r="E8" i="2" s="1"/>
  <c r="E10" i="2" s="1"/>
  <c r="E13" i="2" s="1"/>
  <c r="F5" i="2"/>
  <c r="F6" i="2" s="1"/>
  <c r="F7" i="2" s="1"/>
  <c r="F8" i="2" s="1"/>
  <c r="F10" i="2" s="1"/>
  <c r="F12" i="2" s="1"/>
  <c r="G5" i="2"/>
  <c r="G6" i="2" s="1"/>
  <c r="G7" i="2" s="1"/>
  <c r="G8" i="2" s="1"/>
  <c r="G10" i="2" s="1"/>
  <c r="B36" i="3"/>
  <c r="D36" i="3" s="1"/>
  <c r="D37" i="3" s="1"/>
  <c r="I20" i="2"/>
  <c r="I21" i="2" s="1"/>
  <c r="I22" i="2" s="1"/>
  <c r="I23" i="2" s="1"/>
  <c r="J20" i="2"/>
  <c r="J21" i="2" s="1"/>
  <c r="J22" i="2" s="1"/>
  <c r="J23" i="2" s="1"/>
  <c r="B20" i="2"/>
  <c r="B21" i="2" s="1"/>
  <c r="B22" i="2" s="1"/>
  <c r="B23" i="2" s="1"/>
  <c r="N20" i="2"/>
  <c r="N21" i="2" s="1"/>
  <c r="N22" i="2" s="1"/>
  <c r="N23" i="2" s="1"/>
  <c r="D20" i="2"/>
  <c r="D21" i="2" s="1"/>
  <c r="D22" i="2" s="1"/>
  <c r="D23" i="2" s="1"/>
  <c r="M20" i="2"/>
  <c r="M21" i="2" s="1"/>
  <c r="M22" i="2" s="1"/>
  <c r="M23" i="2" s="1"/>
  <c r="F20" i="2"/>
  <c r="F21" i="2" s="1"/>
  <c r="F22" i="2" s="1"/>
  <c r="F23" i="2" s="1"/>
  <c r="G20" i="2"/>
  <c r="G21" i="2" s="1"/>
  <c r="G22" i="2" s="1"/>
  <c r="G23" i="2" s="1"/>
  <c r="M25" i="2"/>
  <c r="E25" i="2"/>
  <c r="L25" i="2"/>
  <c r="K25" i="2"/>
  <c r="J25" i="2"/>
  <c r="N25" i="2"/>
  <c r="I25" i="2"/>
  <c r="H25" i="2"/>
  <c r="G25" i="2"/>
  <c r="F25" i="2"/>
  <c r="H19" i="2"/>
  <c r="H20" i="2" s="1"/>
  <c r="H21" i="2" s="1"/>
  <c r="H22" i="2" s="1"/>
  <c r="H23" i="2" s="1"/>
  <c r="I5" i="2"/>
  <c r="I6" i="2" s="1"/>
  <c r="I7" i="2" s="1"/>
  <c r="I8" i="2" s="1"/>
  <c r="I10" i="2" s="1"/>
  <c r="B5" i="2"/>
  <c r="B6" i="2" s="1"/>
  <c r="B7" i="2" s="1"/>
  <c r="B8" i="2" s="1"/>
  <c r="B10" i="2" s="1"/>
  <c r="J5" i="2"/>
  <c r="J6" i="2" s="1"/>
  <c r="J7" i="2" s="1"/>
  <c r="J8" i="2" s="1"/>
  <c r="J10" i="2" s="1"/>
  <c r="L20" i="2"/>
  <c r="L21" i="2" s="1"/>
  <c r="L22" i="2" s="1"/>
  <c r="L23" i="2" s="1"/>
  <c r="L26" i="2" s="1"/>
  <c r="C5" i="2"/>
  <c r="C6" i="2" s="1"/>
  <c r="C7" i="2" s="1"/>
  <c r="C8" i="2" s="1"/>
  <c r="C10" i="2" s="1"/>
  <c r="K5" i="2"/>
  <c r="K6" i="2" s="1"/>
  <c r="K7" i="2" s="1"/>
  <c r="K8" i="2" s="1"/>
  <c r="K10" i="2" s="1"/>
  <c r="E20" i="2"/>
  <c r="E21" i="2" s="1"/>
  <c r="E22" i="2" s="1"/>
  <c r="E23" i="2" s="1"/>
  <c r="D5" i="2"/>
  <c r="D6" i="2" s="1"/>
  <c r="D7" i="2" s="1"/>
  <c r="D8" i="2" s="1"/>
  <c r="D10" i="2" s="1"/>
  <c r="D45" i="3" l="1"/>
  <c r="D38" i="3"/>
  <c r="D20" i="3"/>
  <c r="D43" i="3"/>
  <c r="D44" i="3" s="1"/>
  <c r="D46" i="3" s="1"/>
  <c r="D49" i="3" s="1"/>
  <c r="F13" i="2"/>
  <c r="K26" i="2"/>
  <c r="B25" i="2"/>
  <c r="B26" i="2" s="1"/>
  <c r="C25" i="2"/>
  <c r="C26" i="2" s="1"/>
  <c r="M26" i="2"/>
  <c r="F11" i="2"/>
  <c r="N26" i="2"/>
  <c r="H26" i="2"/>
  <c r="G26" i="2"/>
  <c r="E12" i="2"/>
  <c r="E26" i="2"/>
  <c r="F26" i="2"/>
  <c r="E11" i="2"/>
  <c r="D26" i="2"/>
  <c r="J26" i="2"/>
  <c r="D18" i="3"/>
  <c r="D19" i="3" s="1"/>
  <c r="B27" i="2"/>
  <c r="K11" i="2"/>
  <c r="K12" i="2"/>
  <c r="K13" i="2"/>
  <c r="C13" i="2"/>
  <c r="C12" i="2"/>
  <c r="C11" i="2"/>
  <c r="I11" i="2"/>
  <c r="I13" i="2"/>
  <c r="I12" i="2"/>
  <c r="J12" i="2"/>
  <c r="J11" i="2"/>
  <c r="J13" i="2"/>
  <c r="H13" i="2"/>
  <c r="H12" i="2"/>
  <c r="H11" i="2"/>
  <c r="G13" i="2"/>
  <c r="G12" i="2"/>
  <c r="G11" i="2"/>
  <c r="B12" i="2"/>
  <c r="B11" i="2"/>
  <c r="B13" i="2"/>
  <c r="I26" i="2"/>
  <c r="D11" i="2"/>
  <c r="D13" i="2"/>
  <c r="D12" i="2"/>
  <c r="D21" i="3" l="1"/>
  <c r="D23" i="3" s="1"/>
  <c r="B28" i="2"/>
  <c r="B29" i="2"/>
  <c r="B30" i="2"/>
  <c r="D24" i="3" l="1"/>
  <c r="D50" i="3" l="1"/>
  <c r="D10" i="5"/>
  <c r="D11" i="5" s="1"/>
  <c r="D12" i="5" s="1"/>
  <c r="D17" i="5" l="1"/>
  <c r="D18" i="5" s="1"/>
  <c r="D20" i="5" s="1"/>
  <c r="D22" i="5" l="1"/>
  <c r="D23" i="5" s="1"/>
  <c r="D24" i="5" l="1"/>
  <c r="E16" i="17"/>
  <c r="E18" i="17" s="1"/>
  <c r="E19" i="17" s="1"/>
  <c r="E20" i="17" l="1"/>
  <c r="E23" i="17"/>
  <c r="E22" i="17"/>
  <c r="E2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R8" authorId="0" shapeId="0" xr:uid="{CEA78DC9-ACAC-4487-98B1-C6B152063BC0}">
      <text>
        <r>
          <rPr>
            <b/>
            <sz val="9"/>
            <color indexed="81"/>
            <rFont val="Tahoma"/>
            <family val="2"/>
          </rPr>
          <t>Solimini, Kara (EHS):</t>
        </r>
        <r>
          <rPr>
            <sz val="9"/>
            <color indexed="81"/>
            <rFont val="Tahoma"/>
            <family val="2"/>
          </rPr>
          <t xml:space="preserve">
October 2022: streamlined training in IRTP and CIRT to 5 days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<sst xmlns="http://schemas.openxmlformats.org/spreadsheetml/2006/main" count="2164" uniqueCount="589">
  <si>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</si>
  <si>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</si>
  <si>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</si>
  <si>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</si>
  <si>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</si>
  <si>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</si>
  <si>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</si>
  <si>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</si>
  <si>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</si>
  <si>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</si>
  <si>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</si>
  <si>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</si>
  <si>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</si>
  <si>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</si>
  <si>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</si>
  <si>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</si>
  <si>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</si>
  <si>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</si>
  <si>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</si>
  <si>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</si>
  <si>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</si>
  <si>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</si>
  <si>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</si>
  <si>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</si>
  <si>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</si>
  <si>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</si>
  <si>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</si>
  <si>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</si>
  <si>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</si>
  <si>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</si>
  <si>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</si>
  <si>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</si>
  <si>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</si>
  <si>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</si>
  <si>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</si>
  <si>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</si>
  <si>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</si>
  <si>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</si>
  <si>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</si>
  <si>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</si>
  <si>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</si>
  <si>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</si>
  <si>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</si>
  <si>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</si>
  <si>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</si>
  <si>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</si>
  <si>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</si>
  <si>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</si>
  <si>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</si>
  <si>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</si>
  <si>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</si>
  <si>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</si>
  <si>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</si>
  <si>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</si>
  <si>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</si>
  <si>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</si>
  <si>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</si>
  <si>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</si>
  <si>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</si>
  <si>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</si>
  <si>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</si>
  <si>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</si>
  <si>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</si>
  <si>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</si>
  <si>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</si>
  <si>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</si>
  <si>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</si>
  <si>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</si>
  <si>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</si>
  <si>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</si>
  <si>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</si>
  <si>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</si>
  <si>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</si>
  <si>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</si>
  <si>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</si>
  <si>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</si>
  <si>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</si>
  <si>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</si>
  <si>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</si>
  <si>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</si>
  <si>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</si>
  <si>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</si>
  <si>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</si>
  <si>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</si>
  <si>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</si>
  <si>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</si>
  <si>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</si>
  <si>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</si>
  <si>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</si>
  <si>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</si>
  <si>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</si>
  <si>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</si>
  <si>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</si>
  <si>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</si>
  <si>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</si>
  <si>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</si>
  <si>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</si>
  <si>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</si>
  <si>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</si>
  <si>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</si>
  <si>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</si>
  <si>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</si>
  <si>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</si>
  <si>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</si>
  <si>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</si>
  <si>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</si>
  <si>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</si>
  <si>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</si>
  <si>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</si>
  <si>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</si>
  <si>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</si>
  <si>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</si>
  <si>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</si>
  <si>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</si>
  <si>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</si>
  <si>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</si>
  <si>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</si>
  <si>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July 1, 2023 - June 30, 2024</t>
  </si>
  <si>
    <t>CAF:</t>
  </si>
  <si>
    <t xml:space="preserve"> </t>
  </si>
  <si>
    <t xml:space="preserve">Monthly Add-on Rates </t>
  </si>
  <si>
    <t>Direct Care</t>
  </si>
  <si>
    <t>Certified Nursing Assistant</t>
  </si>
  <si>
    <t>Direct Care III</t>
  </si>
  <si>
    <t>Occupantional Therapist</t>
  </si>
  <si>
    <t>Occupantional Therapist Assistant</t>
  </si>
  <si>
    <t>Case Manager, Social Worker, Clinician (MA level-not Indep Licensed)</t>
  </si>
  <si>
    <t>LPN</t>
  </si>
  <si>
    <t>Registered Nurse</t>
  </si>
  <si>
    <t>Clinician w/Independent License</t>
  </si>
  <si>
    <t>Social / Caseworker (BA Level)</t>
  </si>
  <si>
    <t>Source</t>
  </si>
  <si>
    <t>Salary</t>
  </si>
  <si>
    <t>BLS /OES Massachusetts M2021</t>
  </si>
  <si>
    <t>Tax &amp; Fringe</t>
  </si>
  <si>
    <t>Total Tax &amp; Fringe</t>
  </si>
  <si>
    <t>Subtotal Compensation</t>
  </si>
  <si>
    <t>CAF</t>
  </si>
  <si>
    <t>TOTAL COMPENSATION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</si>
  <si>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</si>
  <si>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</si>
  <si>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</si>
  <si>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</si>
  <si>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>Case Mgr, Social Worker, Clinician (MA level but not Indep Lic)</t>
  </si>
  <si>
    <t>Clinician w/Independent Lic</t>
  </si>
  <si>
    <t>Nurse Practioner / APRN</t>
  </si>
  <si>
    <t>Psycologist / Phychiatrist (PhD Lvl)</t>
  </si>
  <si>
    <t>Forensic  Phychiatrist (PhD Lvl)</t>
  </si>
  <si>
    <t>Billable Hours</t>
  </si>
  <si>
    <t>Proposed FY23 Rates (per hour)</t>
  </si>
  <si>
    <t>Monthly Rate (1.0 FTE Add-on)</t>
  </si>
  <si>
    <t>Monthly Rate (0.75 FTE Add-on)</t>
  </si>
  <si>
    <t>Monthly Rate (0.50 FTE Add-on)</t>
  </si>
  <si>
    <t>Monthly Rate (0.25 FTE Add-on)</t>
  </si>
  <si>
    <t>Direct Care Productivity Chart</t>
  </si>
  <si>
    <t>Nursing and Other Staff Productivity Chart</t>
  </si>
  <si>
    <t>Days</t>
  </si>
  <si>
    <t>Hours</t>
  </si>
  <si>
    <t>Paid Time Off (PTO)</t>
  </si>
  <si>
    <t>Training (not OJT)</t>
  </si>
  <si>
    <t>Travel / Admin / Supervision / Training / Misc</t>
  </si>
  <si>
    <t>Total Hours per FTE:</t>
  </si>
  <si>
    <t>ERTP RATE</t>
  </si>
  <si>
    <t xml:space="preserve"> Community Treatment Residence
</t>
  </si>
  <si>
    <t>Master Look-Up Data - Group Home</t>
  </si>
  <si>
    <t>Beds:</t>
  </si>
  <si>
    <t>Bed Days:</t>
  </si>
  <si>
    <t>Relief Assumptions:</t>
  </si>
  <si>
    <t>Model</t>
  </si>
  <si>
    <t>FTE</t>
  </si>
  <si>
    <t>Expense</t>
  </si>
  <si>
    <t>vacation</t>
  </si>
  <si>
    <t>Management</t>
  </si>
  <si>
    <t>sick/ personal</t>
  </si>
  <si>
    <t>holidays</t>
  </si>
  <si>
    <t>Assistant Program Manager</t>
  </si>
  <si>
    <t>training</t>
  </si>
  <si>
    <t>Medical and Clinical</t>
  </si>
  <si>
    <t>% of FTE:</t>
  </si>
  <si>
    <t>MASTER DATA LOOK_UP</t>
  </si>
  <si>
    <t>Program Manager (LICSW)</t>
  </si>
  <si>
    <t>BLS M2021 Benchmark 53 PCT</t>
  </si>
  <si>
    <t xml:space="preserve">Direct Care (DC III) Milieu Manager </t>
  </si>
  <si>
    <t xml:space="preserve">    Physician &amp;Psychiatrist</t>
  </si>
  <si>
    <t xml:space="preserve">    Nursing (RN non-masters)</t>
  </si>
  <si>
    <t>Nursing LPN</t>
  </si>
  <si>
    <t xml:space="preserve">    Occupational Therapy</t>
  </si>
  <si>
    <t>Total Program Staff</t>
  </si>
  <si>
    <t xml:space="preserve">    Social Worker - L.I.C.S.W.</t>
  </si>
  <si>
    <t>Unit Cost</t>
  </si>
  <si>
    <t>Clinician w Independent Licensure</t>
  </si>
  <si>
    <t>BLS M2021 Benchmark 53 PCT- req ind lic</t>
  </si>
  <si>
    <t>Tax and Fringe</t>
  </si>
  <si>
    <t>Clinician W/O Indep. Licensure</t>
  </si>
  <si>
    <t>Total Compensation</t>
  </si>
  <si>
    <t xml:space="preserve">    CQI specialist</t>
  </si>
  <si>
    <t>Additional Training expenses</t>
  </si>
  <si>
    <t>Life Coach /DCIII</t>
  </si>
  <si>
    <t>Total Reimb excl M&amp;G</t>
  </si>
  <si>
    <t>Admin. Allocation</t>
  </si>
  <si>
    <t>TOTAL</t>
  </si>
  <si>
    <t>Rate</t>
  </si>
  <si>
    <t xml:space="preserve">    Direct Care Staff</t>
  </si>
  <si>
    <t xml:space="preserve">  Direct Care Support</t>
  </si>
  <si>
    <t>Transportation Staff (DC)</t>
  </si>
  <si>
    <t>Maintenance Staff (DC)</t>
  </si>
  <si>
    <t>Benchmark Expenses</t>
  </si>
  <si>
    <t>Ch 257 Benchmark 2023</t>
  </si>
  <si>
    <t>Bench to 101 CMR 418 Youth Stab Res</t>
  </si>
  <si>
    <t>Bench to 101 CMR 413 IRTP</t>
  </si>
  <si>
    <t>Additional Training Expense</t>
  </si>
  <si>
    <t>Provider recommendation</t>
  </si>
  <si>
    <t>NON-ERTP RATE</t>
  </si>
  <si>
    <t xml:space="preserve"> Ch. 257 Benchmark 2023</t>
  </si>
  <si>
    <t xml:space="preserve">CAF </t>
  </si>
  <si>
    <t>FY23 &amp; FY24 CAF</t>
  </si>
  <si>
    <t>Occupancy</t>
  </si>
  <si>
    <t>Other Expenses</t>
  </si>
  <si>
    <t>Commonwealth FY24 Rate</t>
  </si>
  <si>
    <t xml:space="preserve">    Case Worker (Case Mgmt)</t>
  </si>
  <si>
    <t>Direct Service, Support and Relief Staff</t>
  </si>
  <si>
    <t>*Non-ERTP Rates use 0.5 FTE CQI Specialist and 0.15 FTE Psychiatrist; ERTP Rates have 1.0 CQI and 0.25 Psychiatrist</t>
  </si>
  <si>
    <t>BLS LPN M2021 Benchmark 53 PCT- Provider recommendation</t>
  </si>
  <si>
    <t>Non-ERTP Per Bed Day rate</t>
  </si>
  <si>
    <t xml:space="preserve">ERTP Per Bed Day rate </t>
  </si>
  <si>
    <t>Utilization</t>
  </si>
  <si>
    <t>FTE Assumptions</t>
  </si>
  <si>
    <t xml:space="preserve">Specialty Treatment Residence 
</t>
  </si>
  <si>
    <t>Case Worker (Ed Liaison)</t>
  </si>
  <si>
    <t>Expenses</t>
  </si>
  <si>
    <t xml:space="preserve">    Clinical Care Manager (MA)</t>
  </si>
  <si>
    <t>Required Masters Degree not indep lic, BLS M2021 Benchmark</t>
  </si>
  <si>
    <t>ERTP Per Bed Day rate (80% utilization)</t>
  </si>
  <si>
    <t>Non-ERTP RATE</t>
  </si>
  <si>
    <t>Non-ERTP Per Bed Day rate (80% utilization)</t>
  </si>
  <si>
    <t>BLS M2021 LPN Benchmark 53 PCT- Provider recommendation</t>
  </si>
  <si>
    <t>Direct Service</t>
  </si>
  <si>
    <t>*Non-ERTP Rates use 0.5 FTE CQI Specialist and .02 more Psychatrist ; ERTP Rates have 1.0 CQI Specialtist</t>
  </si>
  <si>
    <t xml:space="preserve">Specialty Treatment Residence -CSEC (Commercially Sexually Exploited Children)
</t>
  </si>
  <si>
    <t>Additional Consultation Expenses</t>
  </si>
  <si>
    <t>Per Bed Day rate (80% utilization)</t>
  </si>
  <si>
    <t>Per Bed Day rate (90% utilization)</t>
  </si>
  <si>
    <t>ERTP Rate</t>
  </si>
  <si>
    <t xml:space="preserve">Intensive Treatment Residence
</t>
  </si>
  <si>
    <t>ERTP Per Bed Day rate (90% utilization)</t>
  </si>
  <si>
    <t>Non-ERTP Rate</t>
  </si>
  <si>
    <t>Non-ERTP Per Bed Day rate (90% utilization)</t>
  </si>
  <si>
    <t xml:space="preserve">Emergency Residence
</t>
  </si>
  <si>
    <t xml:space="preserve">    Nursing LPN</t>
  </si>
  <si>
    <t xml:space="preserve">    Clinician w Independent Licensure</t>
  </si>
  <si>
    <t xml:space="preserve">    Clinician w/o Indep. Licensure</t>
  </si>
  <si>
    <t>BLS M2021 Benchmark 53 PCT- Provider recommendation</t>
  </si>
  <si>
    <t xml:space="preserve"> Rate </t>
  </si>
  <si>
    <t xml:space="preserve">    House Parent (DC)</t>
  </si>
  <si>
    <t xml:space="preserve">    Relief</t>
  </si>
  <si>
    <t>Programmatic expenses</t>
  </si>
  <si>
    <t xml:space="preserve">Intensive Emergency Residence
</t>
  </si>
  <si>
    <t xml:space="preserve">Rate </t>
  </si>
  <si>
    <t xml:space="preserve">Intensive Treatment Residential Emergency Intake Add On
</t>
  </si>
  <si>
    <t xml:space="preserve">Medically Complex Residence
</t>
  </si>
  <si>
    <t>ERTP Rate:</t>
  </si>
  <si>
    <t xml:space="preserve"> Medically Complex and Behavioral Residence
</t>
  </si>
  <si>
    <t>updated to standard of 5 off-site training days</t>
  </si>
  <si>
    <t>Non-ERTP Rate:</t>
  </si>
  <si>
    <t xml:space="preserve">Youth and Young Adult Group Residence
</t>
  </si>
  <si>
    <t xml:space="preserve">each bed=15 minutes per week </t>
  </si>
  <si>
    <t xml:space="preserve">Youth and Young Adult Supported Living Community
</t>
  </si>
  <si>
    <t xml:space="preserve">Young Adult Supported Living
</t>
  </si>
  <si>
    <t xml:space="preserve">Monthly Bed Rate </t>
  </si>
  <si>
    <t xml:space="preserve">Young Parent Assessment 
</t>
  </si>
  <si>
    <t>Avg Annual Assessments</t>
  </si>
  <si>
    <t>Total Assessment Hours</t>
  </si>
  <si>
    <t>Hours per Assessment</t>
  </si>
  <si>
    <t>Support Staff</t>
  </si>
  <si>
    <t>Program Supplies and Materials (per Assessment)</t>
  </si>
  <si>
    <t>Sq Ft</t>
  </si>
  <si>
    <t>Rate per Assessment</t>
  </si>
  <si>
    <t xml:space="preserve">Youth Residential Model Budget 
</t>
  </si>
  <si>
    <t>RATE:</t>
  </si>
  <si>
    <t>Rate with Utilization Rate:</t>
  </si>
  <si>
    <t>MASTER DATA LOOK-UP TABLE</t>
  </si>
  <si>
    <t>Program Director</t>
  </si>
  <si>
    <t>BLS 2021 Median 53%</t>
  </si>
  <si>
    <t>Asst. Program Director</t>
  </si>
  <si>
    <t>Clinical Director</t>
  </si>
  <si>
    <t>Psychiatry</t>
  </si>
  <si>
    <t>Mental Health Professional (LMSW)</t>
  </si>
  <si>
    <t>Recreational Therapist</t>
  </si>
  <si>
    <t>BLS 2021 Median DC III 53%</t>
  </si>
  <si>
    <t xml:space="preserve">Registered Nurse </t>
  </si>
  <si>
    <t>Tutor</t>
  </si>
  <si>
    <t>Purchaser reccomendation</t>
  </si>
  <si>
    <t>Educational Coordinator</t>
  </si>
  <si>
    <t>Residential Supervisor</t>
  </si>
  <si>
    <t>Residential Staff</t>
  </si>
  <si>
    <t>Administrative Assistant</t>
  </si>
  <si>
    <t>Residential Staff relief</t>
  </si>
  <si>
    <t>RN Relief</t>
  </si>
  <si>
    <t>Benchmark FTEs</t>
  </si>
  <si>
    <t>C.257 Benchmark</t>
  </si>
  <si>
    <t>Staff Training (per FTE)</t>
  </si>
  <si>
    <t>FY21 Weighted Ave. UFR</t>
  </si>
  <si>
    <t>bed day/FTE</t>
  </si>
  <si>
    <t>2019 UFR</t>
  </si>
  <si>
    <t>Transportation (per bed day)</t>
  </si>
  <si>
    <t>Inc Med/Med/Pharmacy (per bed day)</t>
  </si>
  <si>
    <t>Program Supplies/Materials (per bed day)</t>
  </si>
  <si>
    <t>Other Program Expenses (per bed day)</t>
  </si>
  <si>
    <t xml:space="preserve"> Prospective FY22 &amp; FY23</t>
  </si>
  <si>
    <t>2024 Rate Review changes:</t>
  </si>
  <si>
    <t>Updated Tax &amp; Fringe to 25.39 % which includes PFMLA</t>
  </si>
  <si>
    <t>Updated CAF to 2.78%  Standard Ch. 257</t>
  </si>
  <si>
    <t>TAYYA</t>
  </si>
  <si>
    <t>Capacity</t>
  </si>
  <si>
    <t>Clinician (MA Lvl)</t>
  </si>
  <si>
    <t>Caseworker</t>
  </si>
  <si>
    <t>Recovery Specialist Supervisor</t>
  </si>
  <si>
    <t xml:space="preserve">Recovery Specialist  </t>
  </si>
  <si>
    <t>Vocational/Educational Coord.</t>
  </si>
  <si>
    <t>DC Relief Staff</t>
  </si>
  <si>
    <t>Total Reimb Exp. Excl. M&amp;G</t>
  </si>
  <si>
    <t xml:space="preserve">Per Bed Day rate </t>
  </si>
  <si>
    <t>Per Bed Day rate (95% utilization)</t>
  </si>
  <si>
    <t>Per Bed Day rate (85% utilization)</t>
  </si>
  <si>
    <t>Master Data Look-Up Table</t>
  </si>
  <si>
    <t>Benchmark Salaries</t>
  </si>
  <si>
    <t xml:space="preserve">BLS 2021 Median 53% </t>
  </si>
  <si>
    <t>Family Engagement Spec. (DCIII)</t>
  </si>
  <si>
    <t>C. 257 Benchmark</t>
  </si>
  <si>
    <t>Program Expenses (per bed day)</t>
  </si>
  <si>
    <t>Admin Allocation</t>
  </si>
  <si>
    <t xml:space="preserve">IRTP Model Budget 
</t>
  </si>
  <si>
    <t>Monthly Accomm. rate</t>
  </si>
  <si>
    <t>Current</t>
  </si>
  <si>
    <t>Apples to Apples</t>
  </si>
  <si>
    <t>Master Look-Up Data - IRTP</t>
  </si>
  <si>
    <t>12 months</t>
  </si>
  <si>
    <t>IRTP Model Budget
ORIGINAL RATE SETTING + CAF-only 2016 review</t>
  </si>
  <si>
    <t>Straight
CAF</t>
  </si>
  <si>
    <t>Medical and Clinical Staff</t>
  </si>
  <si>
    <t>Direct Service and Support Staff</t>
  </si>
  <si>
    <t>46.81 FTES</t>
  </si>
  <si>
    <t xml:space="preserve">    Psychologogist - doctorate</t>
  </si>
  <si>
    <t>Wellness Expenses</t>
  </si>
  <si>
    <t>On Call expenses</t>
  </si>
  <si>
    <t xml:space="preserve">    Psychologist - doctorate</t>
  </si>
  <si>
    <t xml:space="preserve">    Nursing (APRN RN 40/60 Blend)</t>
  </si>
  <si>
    <t xml:space="preserve">    Social Worker - L.C.S.W.</t>
  </si>
  <si>
    <t xml:space="preserve">    Special Ed Teacher</t>
  </si>
  <si>
    <t xml:space="preserve">    Family Partner</t>
  </si>
  <si>
    <t>Monthly Rate</t>
  </si>
  <si>
    <t>Support</t>
  </si>
  <si>
    <t xml:space="preserve">    Recreation Therapist</t>
  </si>
  <si>
    <t xml:space="preserve">    Prog Secretarial / Clerical</t>
  </si>
  <si>
    <t xml:space="preserve">    Direct Care III Staff</t>
  </si>
  <si>
    <t xml:space="preserve">    Groundskeeping, Cook, Transport</t>
  </si>
  <si>
    <t>Draft Redesigned Proposed Model</t>
  </si>
  <si>
    <t>Shift 1</t>
  </si>
  <si>
    <t>Shift 2</t>
  </si>
  <si>
    <t>Model Name:</t>
  </si>
  <si>
    <t>Shift 3</t>
  </si>
  <si>
    <t>Capacity:</t>
  </si>
  <si>
    <t xml:space="preserve">    Physician &amp; Psychiatrist</t>
  </si>
  <si>
    <t xml:space="preserve">    Nursing  + relief</t>
  </si>
  <si>
    <t xml:space="preserve">    Case Mgr / Special Ed Teacher</t>
  </si>
  <si>
    <t xml:space="preserve">    Family Partner/Peer Mentor</t>
  </si>
  <si>
    <t>Rate with CAF</t>
  </si>
  <si>
    <t>Rate review CAF:</t>
  </si>
  <si>
    <t>Utilization Rate:</t>
  </si>
  <si>
    <t>T&amp;F</t>
  </si>
  <si>
    <t>FY20 UFR Data for IRTP</t>
  </si>
  <si>
    <t>per unit</t>
  </si>
  <si>
    <t>Purchaser Reccomendation</t>
  </si>
  <si>
    <t xml:space="preserve">CIRT Model Budget </t>
  </si>
  <si>
    <t>Master Look-Up Data - CIRT</t>
  </si>
  <si>
    <t>CIRT Model Budget
ORIGINAL RATE SETTING + CAF-only 2016 review</t>
  </si>
  <si>
    <t>Per Unit</t>
  </si>
  <si>
    <t xml:space="preserve">    Maintainence, Groundskeeping</t>
  </si>
  <si>
    <t xml:space="preserve">    Direct Care / Driver Staff</t>
  </si>
  <si>
    <t>FY20 CIRT Specific UFR Data</t>
  </si>
  <si>
    <r>
      <t>Benchmark Salaries</t>
    </r>
    <r>
      <rPr>
        <b/>
        <sz val="8"/>
        <rFont val="Arial"/>
        <family val="2"/>
      </rPr>
      <t xml:space="preserve"> *</t>
    </r>
  </si>
  <si>
    <t>Intensive Home Based Therapeutic Care Model Budget -  12 slots</t>
  </si>
  <si>
    <t>Slots:</t>
  </si>
  <si>
    <t>Total Slots</t>
  </si>
  <si>
    <t>Months</t>
  </si>
  <si>
    <t xml:space="preserve">    Program Management</t>
  </si>
  <si>
    <t>BLS M2021 Benchmark @ 53rd Percentile</t>
  </si>
  <si>
    <t xml:space="preserve">    Clinical LICSW</t>
  </si>
  <si>
    <t xml:space="preserve">    Clinicial Care Coordinator (MA Lvl)</t>
  </si>
  <si>
    <t xml:space="preserve">    Direct Care III</t>
  </si>
  <si>
    <t xml:space="preserve">    Direct Care </t>
  </si>
  <si>
    <t xml:space="preserve">    Young Adult Peer Mentor</t>
  </si>
  <si>
    <t xml:space="preserve">    Support Staff</t>
  </si>
  <si>
    <t>Psychiatric Consultation Services</t>
  </si>
  <si>
    <t>Occupational Therapy Consulting</t>
  </si>
  <si>
    <t>Additional Travel</t>
  </si>
  <si>
    <t>Daily Slot rate</t>
  </si>
  <si>
    <r>
      <t xml:space="preserve">Benchmark Expenses </t>
    </r>
    <r>
      <rPr>
        <u/>
        <sz val="8"/>
        <rFont val="Arial"/>
        <family val="2"/>
      </rPr>
      <t>*</t>
    </r>
  </si>
  <si>
    <t>50/50 APRN /Psychiatrist</t>
  </si>
  <si>
    <t>aprn BLS</t>
  </si>
  <si>
    <t>Psychiatrist BLS</t>
  </si>
  <si>
    <t>Bench to ACCS Outreach Engage 150 sq ft per FTE</t>
  </si>
  <si>
    <t>Bench to current CT Continuum calculated per slot</t>
  </si>
  <si>
    <t>Bench to current CT Continuum calculated per FTE</t>
  </si>
  <si>
    <t>FY23 &amp; FY24</t>
  </si>
  <si>
    <t xml:space="preserve">Therapeutic Group Care (6 Bed) Model Budget - Includes Outreach
</t>
  </si>
  <si>
    <t>Relief Assumptions</t>
  </si>
  <si>
    <t>S</t>
  </si>
  <si>
    <t>M</t>
  </si>
  <si>
    <t xml:space="preserve">T </t>
  </si>
  <si>
    <t>W</t>
  </si>
  <si>
    <t xml:space="preserve">TH </t>
  </si>
  <si>
    <t>F</t>
  </si>
  <si>
    <t xml:space="preserve">    Clinician (LICSW)</t>
  </si>
  <si>
    <t xml:space="preserve">    Registered Nurse</t>
  </si>
  <si>
    <t>Direct Care (GH)</t>
  </si>
  <si>
    <t xml:space="preserve">    Direct Care (GH)</t>
  </si>
  <si>
    <t xml:space="preserve">    Direct Care (Outreach, Transport &amp; Map)</t>
  </si>
  <si>
    <t xml:space="preserve">    Relief staff</t>
  </si>
  <si>
    <t>total Shifts</t>
  </si>
  <si>
    <t>shift * 8 hours</t>
  </si>
  <si>
    <t>FTE needed</t>
  </si>
  <si>
    <t>Direct Care (Outreach, Transport &amp; Map)</t>
  </si>
  <si>
    <t>hours</t>
  </si>
  <si>
    <t>hours / 40</t>
  </si>
  <si>
    <t>Monthly Program Rate</t>
  </si>
  <si>
    <t>Occupancy (per bed day)</t>
  </si>
  <si>
    <t>Bench to Youth Residential (DYS)</t>
  </si>
  <si>
    <t>other exp &amp; Add'l travel (ct model)</t>
  </si>
  <si>
    <t>Updated Tax &amp; Fringe to 25.39% which includes PFMLA</t>
  </si>
  <si>
    <t xml:space="preserve">Therapeutic Group Care (9 Bed) Model Budget - Includes Outreach
</t>
  </si>
  <si>
    <t xml:space="preserve">Therapeutic Group Care  (12 Bed) Model Budget - Includes Outreach
</t>
  </si>
  <si>
    <t>Monthly Program rate</t>
  </si>
  <si>
    <t>BLS OES May 2021</t>
  </si>
  <si>
    <t xml:space="preserve">Young Adult Therapeutic Care  / Staffed Apartments (6 Bed) Model Budget - includes Respite ) 
</t>
  </si>
  <si>
    <t>Supported Apartment</t>
  </si>
  <si>
    <t>Supported Apartment          (Hold Harmless)</t>
  </si>
  <si>
    <t>Outreach</t>
  </si>
  <si>
    <t>Staff Apt</t>
  </si>
  <si>
    <t>Sup Apt</t>
  </si>
  <si>
    <t>Apartment</t>
  </si>
  <si>
    <t>Slot</t>
  </si>
  <si>
    <t xml:space="preserve">    Program Management </t>
  </si>
  <si>
    <t>Bed days</t>
  </si>
  <si>
    <t>Management Staff</t>
  </si>
  <si>
    <t xml:space="preserve">    Direct Care (staffed apt)</t>
  </si>
  <si>
    <t xml:space="preserve">    Peer / Family Mentor</t>
  </si>
  <si>
    <t xml:space="preserve">    Direct Care (Outreach)</t>
  </si>
  <si>
    <t xml:space="preserve">Cost Adjustment Factor </t>
  </si>
  <si>
    <t xml:space="preserve">    Transition Facilitator / Caseworker</t>
  </si>
  <si>
    <t>BLS M2020 Benchmark</t>
  </si>
  <si>
    <t xml:space="preserve">   Direct Care/ Relief staff</t>
  </si>
  <si>
    <t>Occupancy (per bed day) staffed Apts</t>
  </si>
  <si>
    <t>Other Expenses (staffed Apts)</t>
  </si>
  <si>
    <t>Other Expenses (outreach)</t>
  </si>
  <si>
    <t>Bench to MA BLS 2020</t>
  </si>
  <si>
    <t>Current CT Continuum $67,965 - this bench to 2018 MA BLS/OES 65/35 OT Therapist/OT Assistants Blend</t>
  </si>
  <si>
    <t>Monthly Program Accommodation rate</t>
  </si>
  <si>
    <t>Monthly single apt rate</t>
  </si>
  <si>
    <t xml:space="preserve">*Non-ERTP Rates use 0.5 FTE CQI Specialist ; ERTP Rates have 1.0 CQI </t>
  </si>
  <si>
    <t>*Non-ERTP Rates use 0.5 FTE CQI Specialist  ; ERTP Rates have 1.0 CQI Specialtist</t>
  </si>
  <si>
    <t xml:space="preserve">     Direct Care Relief</t>
  </si>
  <si>
    <t xml:space="preserve">     Direct Care Relief </t>
  </si>
  <si>
    <t xml:space="preserve">    Direct Care Support</t>
  </si>
  <si>
    <t>FTE assumptions</t>
  </si>
  <si>
    <t xml:space="preserve">     BCBA</t>
  </si>
  <si>
    <t xml:space="preserve">     Clincial Care Manager (case mgmt)</t>
  </si>
  <si>
    <t xml:space="preserve">    BCBA</t>
  </si>
  <si>
    <t xml:space="preserve">    Direct Care Relief</t>
  </si>
  <si>
    <t>Case Worker (Case Managemnet)</t>
  </si>
  <si>
    <t>Direct Care Support Staff</t>
  </si>
  <si>
    <t xml:space="preserve">     Clinical Care Manager (MA)</t>
  </si>
  <si>
    <t>Direct Car Relief</t>
  </si>
  <si>
    <t xml:space="preserve">  Direct Care Relief</t>
  </si>
  <si>
    <t xml:space="preserve">  Direct Care Support </t>
  </si>
  <si>
    <t>*Non-ERTP Rates use 0.5 FTE CQI Specialist  ERTP Rates have 1.0 CQI Specialist.</t>
  </si>
  <si>
    <t xml:space="preserve">    Case Worker (Case Manager)</t>
  </si>
  <si>
    <t xml:space="preserve">    Case Worker (Case Management)</t>
  </si>
  <si>
    <t xml:space="preserve">Management Oversight </t>
  </si>
  <si>
    <t>Benchmarks</t>
  </si>
  <si>
    <t xml:space="preserve">Benchmarks </t>
  </si>
  <si>
    <t xml:space="preserve">    Direct Care Support Staff</t>
  </si>
  <si>
    <t>CAF FY24</t>
  </si>
  <si>
    <t>CAF on Compensation</t>
  </si>
  <si>
    <t xml:space="preserve">Total   </t>
  </si>
  <si>
    <t xml:space="preserve">TOTAL   </t>
  </si>
  <si>
    <t>CAF of Compensation</t>
  </si>
  <si>
    <t xml:space="preserve">Young Parent Living Program
</t>
  </si>
  <si>
    <t>Management Oversight</t>
  </si>
  <si>
    <t xml:space="preserve">Benchmark  </t>
  </si>
  <si>
    <t xml:space="preserve">   Program Management</t>
  </si>
  <si>
    <t xml:space="preserve">  FTE Assumption</t>
  </si>
  <si>
    <t>*updated to include Juneteenth</t>
  </si>
  <si>
    <t>Added day for Juneteenth</t>
  </si>
  <si>
    <t>holidays*</t>
  </si>
  <si>
    <t>*Added day for Juneteenth</t>
  </si>
  <si>
    <t>YP Living Program</t>
  </si>
  <si>
    <t>YP Assessment</t>
  </si>
  <si>
    <t>Source:</t>
  </si>
  <si>
    <t>BLS / OES</t>
  </si>
  <si>
    <t>Position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</si>
  <si>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</si>
  <si>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</si>
  <si>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</si>
  <si>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</si>
  <si>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</si>
  <si>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</si>
  <si>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</si>
  <si>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</si>
  <si>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</si>
  <si>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</si>
  <si>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</si>
  <si>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</si>
  <si>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</si>
  <si>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</si>
  <si>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</si>
  <si>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</si>
  <si>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</si>
  <si>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</si>
  <si>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</si>
  <si>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</si>
  <si>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</si>
  <si>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</si>
  <si>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</si>
  <si>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</si>
  <si>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</si>
  <si>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</si>
  <si>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</si>
  <si>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</si>
  <si>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</si>
  <si>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</si>
  <si>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</si>
  <si>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</si>
  <si>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</si>
  <si>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</si>
  <si>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</si>
  <si>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</si>
  <si>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</si>
  <si>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</si>
  <si>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</si>
  <si>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</si>
  <si>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</si>
  <si>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</si>
  <si>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</si>
  <si>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</si>
  <si>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</si>
  <si>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</si>
  <si>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</si>
  <si>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</si>
  <si>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</si>
  <si>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</si>
  <si>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</si>
  <si>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</si>
  <si>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</si>
  <si>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</si>
  <si>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</si>
  <si>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</si>
  <si>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</si>
  <si>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</si>
  <si>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</si>
  <si>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</si>
  <si>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</si>
  <si>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</si>
  <si>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</si>
  <si>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</si>
  <si>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</si>
  <si>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</si>
  <si>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</si>
  <si>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Minimum of an associates degree in nursing, a diploma from an approved nursing program, or a Bachelors of Science in Nursing</t>
  </si>
  <si>
    <t>29-1141</t>
  </si>
  <si>
    <t>Registered Nurse (BA) (annual)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</si>
  <si>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</si>
  <si>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</si>
  <si>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</si>
  <si>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</si>
  <si>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</si>
  <si>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</si>
  <si>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</si>
  <si>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</si>
  <si>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</si>
  <si>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</si>
  <si>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</si>
  <si>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</si>
  <si>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</si>
  <si>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</si>
  <si>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Medication Specialist</t>
  </si>
  <si>
    <t xml:space="preserve">    Direct Care Support staff</t>
  </si>
  <si>
    <t>Registered Nurse (BA) (hourly)</t>
  </si>
  <si>
    <t>Registered Nurse (MA / APRN) (hourly)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</si>
</sst>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&quot;$&quot;#,##0"/>
    <numFmt numFmtId="167" formatCode="_(* #,##0_);_(* \(#,##0\);_(* &quot;-&quot;??_);_(@_)"/>
    <numFmt numFmtId="168" formatCode="&quot;$&quot;#,##0.00"/>
    <numFmt numFmtId="169" formatCode="_(&quot;$&quot;* #,##0.000_);_(&quot;$&quot;* \(#,##0.000\);_(&quot;$&quot;* &quot;-&quot;??_);_(@_)"/>
    <numFmt numFmtId="170" formatCode="0.0000"/>
    <numFmt numFmtId="171" formatCode="\$#,##0"/>
    <numFmt numFmtId="172" formatCode="\$#,##0.0000"/>
    <numFmt numFmtId="173" formatCode="_(&quot;$&quot;* #,##0_);_(&quot;$&quot;* \(#,##0\);_(&quot;$&quot;* &quot;-&quot;??_);_(@_)"/>
    <numFmt numFmtId="174" formatCode="0.0%"/>
    <numFmt numFmtId="175" formatCode="\$#,##0.00"/>
    <numFmt numFmtId="176" formatCode="0.000000000000000%"/>
    <numFmt numFmtId="177" formatCode="_(&quot;$&quot;* #,##0.00_);_(&quot;$&quot;* \(#,##0.00\);_(&quot;$&quot;* &quot;-&quot;_);_(@_)"/>
    <numFmt numFmtId="178" formatCode="_(&quot;$&quot;* #,##0.000_);_(&quot;$&quot;* \(#,##0.000\);_(&quot;$&quot;* &quot;-&quot;_);_(@_)"/>
    <numFmt numFmtId="179" formatCode="0.00000"/>
    <numFmt numFmtId="180" formatCode="_(&quot;$&quot;* #,##0.0000_);_(&quot;$&quot;* \(#,##0.0000\);_(&quot;$&quot;* &quot;-&quot;??_);_(@_)"/>
    <numFmt numFmtId="181" formatCode="[$-409]mmmm\ d\,\ yyyy;@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3"/>
      <name val="Arial"/>
      <family val="2"/>
    </font>
    <font>
      <sz val="14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i/>
      <sz val="10"/>
      <name val="Arial"/>
      <family val="2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sz val="11"/>
      <name val="Arial"/>
      <family val="2"/>
    </font>
    <font>
      <i/>
      <sz val="9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theme="0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2"/>
      <name val="Calibri"/>
      <family val="2"/>
      <scheme val="minor"/>
    </font>
    <font>
      <b/>
      <u/>
      <sz val="9"/>
      <name val="Arial"/>
      <family val="2"/>
    </font>
    <font>
      <b/>
      <u/>
      <sz val="10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/>
      <right style="medium">
        <color indexed="64"/>
      </right>
      <top/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8"/>
      </top>
      <bottom style="double">
        <color indexed="64"/>
      </bottom>
      <diagonal/>
    </border>
    <border>
      <left/>
      <right style="medium">
        <color indexed="64"/>
      </right>
      <top style="thin">
        <color indexed="5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>
      <alignment horizontal="left" vertical="center" wrapText="1"/>
    </xf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6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0" fontId="1" fillId="0" borderId="0"/>
  </cellStyleXfs>
  <cellXfs count="1052">
    <xf numFmtId="0" fontId="0" fillId="0" borderId="0" xfId="0"/>
    <xf numFmtId="0" fontId="3" fillId="0" borderId="0" xfId="4"/>
    <xf numFmtId="0" fontId="5" fillId="2" borderId="0" xfId="4" applyFont="1" applyFill="1"/>
    <xf numFmtId="0" fontId="6" fillId="2" borderId="3" xfId="4" applyFont="1" applyFill="1" applyBorder="1"/>
    <xf numFmtId="0" fontId="7" fillId="2" borderId="4" xfId="4" applyFont="1" applyFill="1" applyBorder="1"/>
    <xf numFmtId="0" fontId="6" fillId="2" borderId="5" xfId="4" applyFont="1" applyFill="1" applyBorder="1"/>
    <xf numFmtId="0" fontId="6" fillId="0" borderId="0" xfId="4" applyFont="1"/>
    <xf numFmtId="0" fontId="8" fillId="3" borderId="0" xfId="5" applyFont="1" applyFill="1"/>
    <xf numFmtId="0" fontId="8" fillId="4" borderId="0" xfId="5" applyFont="1" applyFill="1"/>
    <xf numFmtId="0" fontId="8" fillId="5" borderId="0" xfId="5" applyFont="1" applyFill="1"/>
    <xf numFmtId="0" fontId="8" fillId="6" borderId="0" xfId="4" applyFont="1" applyFill="1" applyAlignment="1">
      <alignment horizontal="center"/>
    </xf>
    <xf numFmtId="0" fontId="8" fillId="7" borderId="0" xfId="4" applyFont="1" applyFill="1" applyAlignment="1">
      <alignment horizontal="center"/>
    </xf>
    <xf numFmtId="14" fontId="6" fillId="0" borderId="0" xfId="4" applyNumberFormat="1" applyFont="1"/>
    <xf numFmtId="164" fontId="3" fillId="0" borderId="0" xfId="4" applyNumberFormat="1"/>
    <xf numFmtId="2" fontId="3" fillId="0" borderId="0" xfId="4" applyNumberFormat="1"/>
    <xf numFmtId="0" fontId="6" fillId="0" borderId="0" xfId="6" applyFont="1" applyAlignment="1"/>
    <xf numFmtId="0" fontId="9" fillId="0" borderId="0" xfId="6" applyAlignment="1"/>
    <xf numFmtId="0" fontId="10" fillId="0" borderId="0" xfId="6" applyFont="1" applyAlignment="1"/>
    <xf numFmtId="0" fontId="11" fillId="0" borderId="0" xfId="6" applyFont="1" applyAlignment="1"/>
    <xf numFmtId="0" fontId="9" fillId="0" borderId="6" xfId="6" applyBorder="1" applyAlignment="1"/>
    <xf numFmtId="0" fontId="9" fillId="0" borderId="7" xfId="6" applyBorder="1" applyAlignment="1"/>
    <xf numFmtId="0" fontId="9" fillId="0" borderId="8" xfId="6" applyBorder="1" applyAlignment="1"/>
    <xf numFmtId="0" fontId="9" fillId="0" borderId="9" xfId="6" applyBorder="1" applyAlignment="1"/>
    <xf numFmtId="0" fontId="9" fillId="0" borderId="0" xfId="6" applyAlignment="1">
      <alignment horizontal="right"/>
    </xf>
    <xf numFmtId="0" fontId="6" fillId="0" borderId="0" xfId="6" applyFont="1" applyAlignment="1">
      <alignment horizontal="center"/>
    </xf>
    <xf numFmtId="0" fontId="9" fillId="0" borderId="10" xfId="6" applyBorder="1" applyAlignment="1"/>
    <xf numFmtId="165" fontId="3" fillId="0" borderId="0" xfId="4" applyNumberFormat="1"/>
    <xf numFmtId="14" fontId="6" fillId="0" borderId="0" xfId="4" applyNumberFormat="1" applyFont="1" applyAlignment="1">
      <alignment horizontal="center"/>
    </xf>
    <xf numFmtId="0" fontId="12" fillId="0" borderId="10" xfId="6" applyFont="1" applyBorder="1" applyAlignment="1">
      <alignment horizontal="center"/>
    </xf>
    <xf numFmtId="164" fontId="3" fillId="0" borderId="11" xfId="4" applyNumberFormat="1" applyBorder="1"/>
    <xf numFmtId="164" fontId="9" fillId="0" borderId="10" xfId="6" applyNumberFormat="1" applyBorder="1" applyAlignment="1">
      <alignment horizontal="center"/>
    </xf>
    <xf numFmtId="0" fontId="9" fillId="0" borderId="10" xfId="6" applyBorder="1" applyAlignment="1">
      <alignment horizontal="center"/>
    </xf>
    <xf numFmtId="0" fontId="9" fillId="0" borderId="9" xfId="6" applyBorder="1" applyAlignment="1">
      <alignment horizontal="right"/>
    </xf>
    <xf numFmtId="0" fontId="6" fillId="8" borderId="0" xfId="6" applyFont="1" applyFill="1" applyAlignment="1">
      <alignment horizontal="right"/>
    </xf>
    <xf numFmtId="10" fontId="6" fillId="8" borderId="10" xfId="7" applyNumberFormat="1" applyFont="1" applyFill="1" applyBorder="1" applyAlignment="1">
      <alignment horizontal="center"/>
    </xf>
    <xf numFmtId="0" fontId="9" fillId="0" borderId="12" xfId="6" applyBorder="1" applyAlignment="1"/>
    <xf numFmtId="0" fontId="9" fillId="0" borderId="13" xfId="6" applyBorder="1" applyAlignment="1"/>
    <xf numFmtId="0" fontId="9" fillId="0" borderId="14" xfId="6" applyBorder="1" applyAlignment="1"/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/>
    <xf numFmtId="0" fontId="15" fillId="9" borderId="15" xfId="0" applyFont="1" applyFill="1" applyBorder="1" applyAlignment="1">
      <alignment horizontal="center"/>
    </xf>
    <xf numFmtId="0" fontId="15" fillId="9" borderId="16" xfId="0" applyFont="1" applyFill="1" applyBorder="1" applyAlignment="1">
      <alignment horizontal="center" wrapText="1"/>
    </xf>
    <xf numFmtId="0" fontId="15" fillId="9" borderId="16" xfId="0" applyFont="1" applyFill="1" applyBorder="1" applyAlignment="1">
      <alignment horizontal="center"/>
    </xf>
    <xf numFmtId="0" fontId="14" fillId="0" borderId="18" xfId="0" applyFont="1" applyBorder="1" applyAlignment="1">
      <alignment horizontal="right"/>
    </xf>
    <xf numFmtId="166" fontId="14" fillId="0" borderId="1" xfId="0" applyNumberFormat="1" applyFont="1" applyBorder="1" applyAlignment="1">
      <alignment horizontal="center"/>
    </xf>
    <xf numFmtId="166" fontId="0" fillId="0" borderId="0" xfId="0" applyNumberFormat="1"/>
    <xf numFmtId="167" fontId="0" fillId="0" borderId="0" xfId="1" applyNumberFormat="1" applyFont="1"/>
    <xf numFmtId="0" fontId="14" fillId="0" borderId="19" xfId="0" applyFont="1" applyBorder="1" applyAlignment="1">
      <alignment horizontal="right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5" fontId="1" fillId="0" borderId="0" xfId="8" applyNumberFormat="1" applyAlignment="1">
      <alignment horizontal="center"/>
    </xf>
    <xf numFmtId="10" fontId="14" fillId="0" borderId="0" xfId="0" applyNumberFormat="1" applyFont="1"/>
    <xf numFmtId="10" fontId="14" fillId="0" borderId="3" xfId="0" applyNumberFormat="1" applyFont="1" applyBorder="1"/>
    <xf numFmtId="0" fontId="14" fillId="0" borderId="3" xfId="0" applyFont="1" applyBorder="1"/>
    <xf numFmtId="166" fontId="0" fillId="0" borderId="20" xfId="0" applyNumberFormat="1" applyBorder="1" applyAlignment="1">
      <alignment horizontal="center"/>
    </xf>
    <xf numFmtId="10" fontId="2" fillId="0" borderId="20" xfId="0" applyNumberFormat="1" applyFont="1" applyBorder="1" applyAlignment="1">
      <alignment horizontal="left"/>
    </xf>
    <xf numFmtId="10" fontId="2" fillId="0" borderId="21" xfId="0" applyNumberFormat="1" applyFont="1" applyBorder="1" applyAlignment="1">
      <alignment horizontal="left"/>
    </xf>
    <xf numFmtId="10" fontId="2" fillId="0" borderId="0" xfId="0" applyNumberFormat="1" applyFont="1" applyAlignment="1">
      <alignment horizontal="left"/>
    </xf>
    <xf numFmtId="0" fontId="15" fillId="0" borderId="22" xfId="0" applyFont="1" applyBorder="1" applyAlignment="1">
      <alignment horizontal="right"/>
    </xf>
    <xf numFmtId="166" fontId="15" fillId="8" borderId="4" xfId="0" applyNumberFormat="1" applyFont="1" applyFill="1" applyBorder="1" applyAlignment="1">
      <alignment horizontal="center"/>
    </xf>
    <xf numFmtId="10" fontId="14" fillId="0" borderId="4" xfId="0" applyNumberFormat="1" applyFont="1" applyBorder="1"/>
    <xf numFmtId="10" fontId="14" fillId="0" borderId="5" xfId="0" applyNumberFormat="1" applyFont="1" applyBorder="1"/>
    <xf numFmtId="10" fontId="1" fillId="0" borderId="0" xfId="9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14" fontId="19" fillId="0" borderId="0" xfId="0" applyNumberFormat="1" applyFont="1" applyAlignment="1">
      <alignment horizontal="left"/>
    </xf>
    <xf numFmtId="166" fontId="18" fillId="0" borderId="0" xfId="0" applyNumberFormat="1" applyFont="1" applyAlignment="1">
      <alignment horizontal="center"/>
    </xf>
    <xf numFmtId="0" fontId="15" fillId="10" borderId="15" xfId="0" applyFont="1" applyFill="1" applyBorder="1" applyAlignment="1">
      <alignment horizontal="center"/>
    </xf>
    <xf numFmtId="0" fontId="15" fillId="10" borderId="16" xfId="0" applyFont="1" applyFill="1" applyBorder="1" applyAlignment="1">
      <alignment horizontal="center" wrapText="1"/>
    </xf>
    <xf numFmtId="0" fontId="15" fillId="10" borderId="16" xfId="0" applyFont="1" applyFill="1" applyBorder="1" applyAlignment="1">
      <alignment horizontal="center"/>
    </xf>
    <xf numFmtId="10" fontId="0" fillId="0" borderId="0" xfId="0" applyNumberFormat="1"/>
    <xf numFmtId="10" fontId="14" fillId="0" borderId="3" xfId="0" applyNumberFormat="1" applyFont="1" applyBorder="1" applyAlignment="1">
      <alignment horizontal="left"/>
    </xf>
    <xf numFmtId="37" fontId="1" fillId="0" borderId="20" xfId="1" applyNumberFormat="1" applyBorder="1" applyAlignment="1">
      <alignment horizontal="center"/>
    </xf>
    <xf numFmtId="168" fontId="15" fillId="8" borderId="4" xfId="0" applyNumberFormat="1" applyFont="1" applyFill="1" applyBorder="1" applyAlignment="1">
      <alignment horizontal="center"/>
    </xf>
    <xf numFmtId="168" fontId="14" fillId="0" borderId="4" xfId="0" applyNumberFormat="1" applyFont="1" applyBorder="1"/>
    <xf numFmtId="0" fontId="20" fillId="0" borderId="0" xfId="0" applyFont="1" applyAlignment="1">
      <alignment horizontal="right"/>
    </xf>
    <xf numFmtId="5" fontId="21" fillId="0" borderId="0" xfId="8" applyNumberFormat="1" applyFont="1" applyAlignment="1">
      <alignment horizontal="center"/>
    </xf>
    <xf numFmtId="169" fontId="1" fillId="0" borderId="0" xfId="10" applyNumberFormat="1" applyFont="1"/>
    <xf numFmtId="164" fontId="0" fillId="0" borderId="0" xfId="0" applyNumberFormat="1" applyAlignment="1">
      <alignment wrapText="1"/>
    </xf>
    <xf numFmtId="164" fontId="0" fillId="0" borderId="0" xfId="0" applyNumberFormat="1"/>
    <xf numFmtId="170" fontId="0" fillId="0" borderId="0" xfId="0" applyNumberFormat="1"/>
    <xf numFmtId="1" fontId="0" fillId="0" borderId="0" xfId="0" applyNumberFormat="1" applyAlignment="1">
      <alignment horizontal="center" wrapText="1"/>
    </xf>
    <xf numFmtId="0" fontId="14" fillId="9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wrapText="1"/>
    </xf>
    <xf numFmtId="0" fontId="0" fillId="11" borderId="0" xfId="0" applyFill="1"/>
    <xf numFmtId="0" fontId="0" fillId="11" borderId="0" xfId="0" applyFill="1" applyAlignment="1">
      <alignment horizontal="center"/>
    </xf>
    <xf numFmtId="0" fontId="22" fillId="12" borderId="18" xfId="11" applyFont="1" applyFill="1" applyBorder="1"/>
    <xf numFmtId="0" fontId="22" fillId="12" borderId="1" xfId="11" applyFont="1" applyFill="1" applyBorder="1"/>
    <xf numFmtId="0" fontId="22" fillId="12" borderId="1" xfId="11" applyFont="1" applyFill="1" applyBorder="1" applyAlignment="1">
      <alignment horizontal="center"/>
    </xf>
    <xf numFmtId="171" fontId="22" fillId="12" borderId="2" xfId="11" applyNumberFormat="1" applyFont="1" applyFill="1" applyBorder="1" applyAlignment="1">
      <alignment horizontal="center"/>
    </xf>
    <xf numFmtId="171" fontId="22" fillId="0" borderId="0" xfId="11" applyNumberFormat="1" applyFont="1" applyAlignment="1">
      <alignment horizontal="center"/>
    </xf>
    <xf numFmtId="172" fontId="22" fillId="0" borderId="0" xfId="11" applyNumberFormat="1" applyFont="1" applyAlignment="1">
      <alignment horizontal="center"/>
    </xf>
    <xf numFmtId="0" fontId="23" fillId="12" borderId="19" xfId="11" applyFont="1" applyFill="1" applyBorder="1"/>
    <xf numFmtId="0" fontId="23" fillId="12" borderId="0" xfId="11" applyFont="1" applyFill="1" applyAlignment="1">
      <alignment horizontal="right"/>
    </xf>
    <xf numFmtId="0" fontId="24" fillId="12" borderId="0" xfId="11" applyFont="1" applyFill="1" applyAlignment="1">
      <alignment horizontal="center"/>
    </xf>
    <xf numFmtId="0" fontId="23" fillId="12" borderId="3" xfId="11" applyFont="1" applyFill="1" applyBorder="1" applyAlignment="1">
      <alignment horizontal="center"/>
    </xf>
    <xf numFmtId="0" fontId="23" fillId="0" borderId="0" xfId="11" applyFont="1" applyAlignment="1">
      <alignment horizontal="center"/>
    </xf>
    <xf numFmtId="0" fontId="25" fillId="0" borderId="0" xfId="0" applyFont="1"/>
    <xf numFmtId="0" fontId="23" fillId="12" borderId="23" xfId="11" applyFont="1" applyFill="1" applyBorder="1"/>
    <xf numFmtId="0" fontId="23" fillId="12" borderId="13" xfId="11" applyFont="1" applyFill="1" applyBorder="1" applyAlignment="1">
      <alignment horizontal="right"/>
    </xf>
    <xf numFmtId="1" fontId="24" fillId="12" borderId="13" xfId="11" applyNumberFormat="1" applyFont="1" applyFill="1" applyBorder="1" applyAlignment="1">
      <alignment horizontal="center"/>
    </xf>
    <xf numFmtId="1" fontId="23" fillId="12" borderId="24" xfId="11" applyNumberFormat="1" applyFont="1" applyFill="1" applyBorder="1" applyAlignment="1">
      <alignment horizontal="center"/>
    </xf>
    <xf numFmtId="1" fontId="23" fillId="0" borderId="0" xfId="11" applyNumberFormat="1" applyFont="1" applyAlignment="1">
      <alignment horizontal="center"/>
    </xf>
    <xf numFmtId="0" fontId="25" fillId="0" borderId="0" xfId="0" applyFont="1" applyAlignment="1">
      <alignment horizontal="left"/>
    </xf>
    <xf numFmtId="0" fontId="23" fillId="12" borderId="23" xfId="11" applyFont="1" applyFill="1" applyBorder="1" applyAlignment="1">
      <alignment horizontal="left"/>
    </xf>
    <xf numFmtId="0" fontId="26" fillId="12" borderId="13" xfId="11" applyFont="1" applyFill="1" applyBorder="1" applyAlignment="1">
      <alignment horizontal="right"/>
    </xf>
    <xf numFmtId="0" fontId="23" fillId="12" borderId="24" xfId="11" applyFont="1" applyFill="1" applyBorder="1" applyAlignment="1">
      <alignment horizontal="center"/>
    </xf>
    <xf numFmtId="0" fontId="23" fillId="12" borderId="0" xfId="11" applyFont="1" applyFill="1"/>
    <xf numFmtId="1" fontId="23" fillId="12" borderId="3" xfId="11" applyNumberFormat="1" applyFont="1" applyFill="1" applyBorder="1" applyAlignment="1">
      <alignment horizontal="center"/>
    </xf>
    <xf numFmtId="0" fontId="23" fillId="12" borderId="22" xfId="11" applyFont="1" applyFill="1" applyBorder="1"/>
    <xf numFmtId="0" fontId="23" fillId="12" borderId="4" xfId="11" applyFont="1" applyFill="1" applyBorder="1"/>
    <xf numFmtId="0" fontId="23" fillId="12" borderId="4" xfId="11" applyFont="1" applyFill="1" applyBorder="1" applyAlignment="1">
      <alignment horizontal="right"/>
    </xf>
    <xf numFmtId="1" fontId="23" fillId="12" borderId="5" xfId="11" applyNumberFormat="1" applyFont="1" applyFill="1" applyBorder="1" applyAlignment="1">
      <alignment horizontal="center"/>
    </xf>
    <xf numFmtId="0" fontId="23" fillId="12" borderId="5" xfId="1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9" xfId="0" applyFont="1" applyBorder="1"/>
    <xf numFmtId="173" fontId="3" fillId="0" borderId="0" xfId="10" applyNumberFormat="1" applyFont="1" applyAlignment="1">
      <alignment horizontal="center"/>
    </xf>
    <xf numFmtId="0" fontId="6" fillId="0" borderId="18" xfId="0" applyFont="1" applyBorder="1"/>
    <xf numFmtId="0" fontId="12" fillId="0" borderId="2" xfId="0" applyFont="1" applyBorder="1"/>
    <xf numFmtId="0" fontId="3" fillId="0" borderId="19" xfId="0" applyFont="1" applyBorder="1"/>
    <xf numFmtId="0" fontId="3" fillId="0" borderId="3" xfId="0" applyFont="1" applyBorder="1"/>
    <xf numFmtId="0" fontId="6" fillId="0" borderId="0" xfId="0" applyFont="1" applyAlignment="1">
      <alignment horizontal="center"/>
    </xf>
    <xf numFmtId="171" fontId="6" fillId="0" borderId="0" xfId="0" applyNumberFormat="1" applyFont="1" applyAlignment="1">
      <alignment horizontal="center"/>
    </xf>
    <xf numFmtId="1" fontId="6" fillId="0" borderId="3" xfId="0" applyNumberFormat="1" applyFont="1" applyBorder="1" applyAlignment="1">
      <alignment horizontal="right"/>
    </xf>
    <xf numFmtId="0" fontId="6" fillId="0" borderId="13" xfId="0" applyFont="1" applyBorder="1"/>
    <xf numFmtId="0" fontId="6" fillId="0" borderId="2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42" fontId="3" fillId="0" borderId="0" xfId="0" applyNumberFormat="1" applyFont="1"/>
    <xf numFmtId="42" fontId="3" fillId="0" borderId="3" xfId="0" applyNumberFormat="1" applyFont="1" applyBorder="1"/>
    <xf numFmtId="1" fontId="6" fillId="0" borderId="3" xfId="0" applyNumberFormat="1" applyFont="1" applyBorder="1" applyAlignment="1">
      <alignment horizontal="left"/>
    </xf>
    <xf numFmtId="0" fontId="3" fillId="0" borderId="23" xfId="0" applyFont="1" applyBorder="1"/>
    <xf numFmtId="0" fontId="3" fillId="0" borderId="13" xfId="0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0" fontId="11" fillId="0" borderId="0" xfId="0" applyFont="1"/>
    <xf numFmtId="0" fontId="3" fillId="0" borderId="0" xfId="0" applyFont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27" fillId="0" borderId="0" xfId="0" applyFont="1" applyAlignment="1">
      <alignment horizontal="center"/>
    </xf>
    <xf numFmtId="0" fontId="3" fillId="0" borderId="22" xfId="0" applyFont="1" applyBorder="1"/>
    <xf numFmtId="0" fontId="3" fillId="0" borderId="4" xfId="0" applyFont="1" applyBorder="1" applyAlignment="1">
      <alignment horizontal="right"/>
    </xf>
    <xf numFmtId="174" fontId="3" fillId="0" borderId="4" xfId="9" applyNumberFormat="1" applyFont="1" applyBorder="1" applyAlignment="1">
      <alignment horizontal="center"/>
    </xf>
    <xf numFmtId="174" fontId="3" fillId="0" borderId="5" xfId="9" quotePrefix="1" applyNumberFormat="1" applyFont="1" applyBorder="1" applyAlignment="1">
      <alignment horizontal="center"/>
    </xf>
    <xf numFmtId="174" fontId="3" fillId="0" borderId="0" xfId="9" applyNumberFormat="1" applyFont="1" applyAlignment="1">
      <alignment horizontal="center"/>
    </xf>
    <xf numFmtId="174" fontId="3" fillId="0" borderId="0" xfId="9" quotePrefix="1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7" fillId="0" borderId="0" xfId="0" applyFont="1"/>
    <xf numFmtId="0" fontId="3" fillId="0" borderId="19" xfId="0" applyFont="1" applyBorder="1" applyAlignment="1">
      <alignment horizontal="left" indent="2"/>
    </xf>
    <xf numFmtId="0" fontId="6" fillId="0" borderId="27" xfId="0" applyFont="1" applyBorder="1"/>
    <xf numFmtId="0" fontId="6" fillId="0" borderId="28" xfId="0" applyFont="1" applyBorder="1"/>
    <xf numFmtId="42" fontId="6" fillId="0" borderId="29" xfId="0" applyNumberFormat="1" applyFont="1" applyBorder="1"/>
    <xf numFmtId="10" fontId="3" fillId="0" borderId="0" xfId="0" applyNumberFormat="1" applyFont="1"/>
    <xf numFmtId="44" fontId="6" fillId="0" borderId="28" xfId="0" applyNumberFormat="1" applyFont="1" applyBorder="1"/>
    <xf numFmtId="44" fontId="3" fillId="0" borderId="0" xfId="0" applyNumberFormat="1" applyFont="1"/>
    <xf numFmtId="173" fontId="3" fillId="0" borderId="3" xfId="0" applyNumberFormat="1" applyFont="1" applyBorder="1"/>
    <xf numFmtId="0" fontId="6" fillId="0" borderId="30" xfId="0" applyFont="1" applyBorder="1"/>
    <xf numFmtId="0" fontId="3" fillId="0" borderId="20" xfId="0" applyFont="1" applyBorder="1"/>
    <xf numFmtId="42" fontId="6" fillId="0" borderId="21" xfId="0" applyNumberFormat="1" applyFont="1" applyBorder="1"/>
    <xf numFmtId="10" fontId="3" fillId="0" borderId="0" xfId="9" applyNumberFormat="1" applyFont="1" applyAlignment="1">
      <alignment horizontal="center"/>
    </xf>
    <xf numFmtId="173" fontId="3" fillId="0" borderId="3" xfId="10" applyNumberFormat="1" applyFont="1" applyBorder="1"/>
    <xf numFmtId="44" fontId="11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right"/>
    </xf>
    <xf numFmtId="44" fontId="3" fillId="0" borderId="0" xfId="10" applyFont="1"/>
    <xf numFmtId="44" fontId="3" fillId="0" borderId="3" xfId="10" applyFont="1" applyBorder="1"/>
    <xf numFmtId="0" fontId="3" fillId="0" borderId="19" xfId="0" applyFont="1" applyBorder="1" applyAlignment="1">
      <alignment horizontal="left"/>
    </xf>
    <xf numFmtId="175" fontId="29" fillId="0" borderId="22" xfId="0" applyNumberFormat="1" applyFont="1" applyBorder="1"/>
    <xf numFmtId="44" fontId="3" fillId="0" borderId="31" xfId="10" applyFont="1" applyBorder="1"/>
    <xf numFmtId="44" fontId="6" fillId="8" borderId="17" xfId="10" applyFont="1" applyFill="1" applyBorder="1"/>
    <xf numFmtId="0" fontId="3" fillId="0" borderId="19" xfId="0" applyFont="1" applyBorder="1" applyAlignment="1">
      <alignment horizontal="left" indent="1"/>
    </xf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10" fillId="0" borderId="0" xfId="0" applyFont="1"/>
    <xf numFmtId="168" fontId="6" fillId="8" borderId="17" xfId="10" applyNumberFormat="1" applyFont="1" applyFill="1" applyBorder="1"/>
    <xf numFmtId="10" fontId="3" fillId="0" borderId="0" xfId="9" applyNumberFormat="1" applyFont="1"/>
    <xf numFmtId="0" fontId="6" fillId="0" borderId="25" xfId="0" applyFont="1" applyBorder="1"/>
    <xf numFmtId="0" fontId="3" fillId="0" borderId="7" xfId="0" applyFont="1" applyBorder="1"/>
    <xf numFmtId="44" fontId="3" fillId="0" borderId="7" xfId="0" applyNumberFormat="1" applyFont="1" applyBorder="1"/>
    <xf numFmtId="0" fontId="3" fillId="0" borderId="26" xfId="0" applyFont="1" applyBorder="1"/>
    <xf numFmtId="0" fontId="3" fillId="0" borderId="4" xfId="0" applyFont="1" applyBorder="1"/>
    <xf numFmtId="10" fontId="3" fillId="0" borderId="4" xfId="9" applyNumberFormat="1" applyFont="1" applyBorder="1"/>
    <xf numFmtId="0" fontId="3" fillId="0" borderId="5" xfId="0" applyFont="1" applyBorder="1"/>
    <xf numFmtId="9" fontId="3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44" fontId="3" fillId="0" borderId="0" xfId="2" applyFont="1" applyAlignment="1">
      <alignment horizontal="center"/>
    </xf>
    <xf numFmtId="177" fontId="3" fillId="0" borderId="0" xfId="0" applyNumberFormat="1" applyFont="1" applyAlignment="1">
      <alignment horizontal="center"/>
    </xf>
    <xf numFmtId="44" fontId="11" fillId="0" borderId="0" xfId="2" applyFont="1" applyAlignment="1">
      <alignment horizontal="center"/>
    </xf>
    <xf numFmtId="177" fontId="27" fillId="0" borderId="0" xfId="0" applyNumberFormat="1" applyFont="1" applyAlignment="1">
      <alignment horizontal="center"/>
    </xf>
    <xf numFmtId="2" fontId="3" fillId="0" borderId="0" xfId="0" applyNumberFormat="1" applyFont="1"/>
    <xf numFmtId="4" fontId="6" fillId="0" borderId="28" xfId="0" applyNumberFormat="1" applyFont="1" applyBorder="1" applyAlignment="1">
      <alignment horizontal="center"/>
    </xf>
    <xf numFmtId="173" fontId="3" fillId="0" borderId="3" xfId="2" applyNumberFormat="1" applyFont="1" applyBorder="1"/>
    <xf numFmtId="173" fontId="3" fillId="0" borderId="3" xfId="2" applyNumberFormat="1" applyFont="1" applyBorder="1" applyAlignment="1">
      <alignment horizontal="right"/>
    </xf>
    <xf numFmtId="9" fontId="3" fillId="0" borderId="31" xfId="3" applyFont="1" applyBorder="1"/>
    <xf numFmtId="0" fontId="3" fillId="0" borderId="0" xfId="0" applyFont="1" applyAlignment="1">
      <alignment horizontal="left"/>
    </xf>
    <xf numFmtId="4" fontId="6" fillId="0" borderId="13" xfId="0" applyNumberFormat="1" applyFont="1" applyBorder="1" applyAlignment="1">
      <alignment horizontal="center"/>
    </xf>
    <xf numFmtId="42" fontId="6" fillId="0" borderId="24" xfId="0" applyNumberFormat="1" applyFont="1" applyBorder="1" applyAlignment="1">
      <alignment horizontal="center"/>
    </xf>
    <xf numFmtId="0" fontId="6" fillId="0" borderId="0" xfId="0" applyFont="1"/>
    <xf numFmtId="10" fontId="6" fillId="0" borderId="0" xfId="0" applyNumberFormat="1" applyFont="1"/>
    <xf numFmtId="44" fontId="3" fillId="0" borderId="0" xfId="10" applyFont="1" applyFill="1"/>
    <xf numFmtId="168" fontId="6" fillId="0" borderId="14" xfId="10" applyNumberFormat="1" applyFont="1" applyFill="1" applyBorder="1"/>
    <xf numFmtId="10" fontId="3" fillId="0" borderId="0" xfId="9" applyNumberFormat="1" applyFont="1" applyBorder="1"/>
    <xf numFmtId="176" fontId="3" fillId="0" borderId="0" xfId="0" applyNumberFormat="1" applyFont="1"/>
    <xf numFmtId="0" fontId="6" fillId="0" borderId="16" xfId="0" applyFont="1" applyBorder="1"/>
    <xf numFmtId="3" fontId="6" fillId="0" borderId="17" xfId="0" applyNumberFormat="1" applyFont="1" applyBorder="1"/>
    <xf numFmtId="0" fontId="6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73" fontId="3" fillId="0" borderId="2" xfId="0" applyNumberFormat="1" applyFont="1" applyBorder="1" applyAlignment="1">
      <alignment horizontal="center"/>
    </xf>
    <xf numFmtId="173" fontId="3" fillId="0" borderId="3" xfId="0" applyNumberFormat="1" applyFont="1" applyBorder="1" applyAlignment="1">
      <alignment horizontal="center"/>
    </xf>
    <xf numFmtId="44" fontId="3" fillId="0" borderId="0" xfId="10" applyFont="1" applyBorder="1"/>
    <xf numFmtId="0" fontId="6" fillId="0" borderId="1" xfId="0" applyFont="1" applyBorder="1"/>
    <xf numFmtId="173" fontId="3" fillId="0" borderId="2" xfId="2" applyNumberFormat="1" applyFont="1" applyBorder="1" applyAlignment="1"/>
    <xf numFmtId="0" fontId="6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9" fontId="3" fillId="0" borderId="31" xfId="3" applyFont="1" applyBorder="1" applyAlignment="1">
      <alignment horizontal="right"/>
    </xf>
    <xf numFmtId="3" fontId="6" fillId="0" borderId="3" xfId="0" applyNumberFormat="1" applyFont="1" applyBorder="1"/>
    <xf numFmtId="0" fontId="6" fillId="0" borderId="23" xfId="0" applyFont="1" applyBorder="1"/>
    <xf numFmtId="0" fontId="6" fillId="0" borderId="13" xfId="0" applyFont="1" applyBorder="1" applyAlignment="1">
      <alignment horizontal="center"/>
    </xf>
    <xf numFmtId="4" fontId="3" fillId="0" borderId="0" xfId="0" applyNumberFormat="1" applyFont="1"/>
    <xf numFmtId="164" fontId="3" fillId="0" borderId="0" xfId="0" applyNumberFormat="1" applyFont="1" applyAlignment="1">
      <alignment horizontal="right"/>
    </xf>
    <xf numFmtId="4" fontId="6" fillId="0" borderId="28" xfId="0" applyNumberFormat="1" applyFont="1" applyBorder="1"/>
    <xf numFmtId="0" fontId="0" fillId="0" borderId="19" xfId="0" applyBorder="1"/>
    <xf numFmtId="42" fontId="0" fillId="0" borderId="0" xfId="0" applyNumberFormat="1"/>
    <xf numFmtId="0" fontId="0" fillId="0" borderId="3" xfId="0" applyBorder="1"/>
    <xf numFmtId="44" fontId="3" fillId="0" borderId="3" xfId="0" applyNumberFormat="1" applyFont="1" applyBorder="1"/>
    <xf numFmtId="175" fontId="29" fillId="0" borderId="15" xfId="0" applyNumberFormat="1" applyFont="1" applyBorder="1"/>
    <xf numFmtId="44" fontId="3" fillId="0" borderId="16" xfId="10" applyFont="1" applyBorder="1"/>
    <xf numFmtId="44" fontId="3" fillId="0" borderId="17" xfId="0" applyNumberFormat="1" applyFont="1" applyBorder="1"/>
    <xf numFmtId="44" fontId="6" fillId="0" borderId="0" xfId="10" applyFont="1"/>
    <xf numFmtId="10" fontId="6" fillId="0" borderId="28" xfId="0" applyNumberFormat="1" applyFont="1" applyBorder="1"/>
    <xf numFmtId="10" fontId="3" fillId="0" borderId="20" xfId="0" applyNumberFormat="1" applyFont="1" applyBorder="1"/>
    <xf numFmtId="9" fontId="6" fillId="0" borderId="16" xfId="0" applyNumberFormat="1" applyFont="1" applyBorder="1" applyAlignment="1">
      <alignment horizontal="center"/>
    </xf>
    <xf numFmtId="39" fontId="3" fillId="0" borderId="0" xfId="0" applyNumberFormat="1" applyFont="1"/>
    <xf numFmtId="42" fontId="6" fillId="0" borderId="0" xfId="0" applyNumberFormat="1" applyFont="1"/>
    <xf numFmtId="173" fontId="3" fillId="0" borderId="0" xfId="10" applyNumberFormat="1" applyFont="1" applyBorder="1"/>
    <xf numFmtId="0" fontId="12" fillId="0" borderId="0" xfId="0" applyFont="1" applyAlignment="1">
      <alignment horizontal="right"/>
    </xf>
    <xf numFmtId="3" fontId="6" fillId="0" borderId="0" xfId="0" applyNumberFormat="1" applyFont="1"/>
    <xf numFmtId="173" fontId="3" fillId="0" borderId="0" xfId="0" applyNumberFormat="1" applyFont="1"/>
    <xf numFmtId="173" fontId="3" fillId="0" borderId="0" xfId="10" applyNumberFormat="1" applyFont="1" applyFill="1" applyBorder="1"/>
    <xf numFmtId="44" fontId="3" fillId="0" borderId="0" xfId="10" applyFont="1" applyFill="1" applyBorder="1"/>
    <xf numFmtId="44" fontId="6" fillId="0" borderId="0" xfId="10" applyFont="1" applyFill="1" applyBorder="1"/>
    <xf numFmtId="177" fontId="3" fillId="0" borderId="0" xfId="0" applyNumberFormat="1" applyFont="1"/>
    <xf numFmtId="0" fontId="6" fillId="13" borderId="15" xfId="0" applyFont="1" applyFill="1" applyBorder="1"/>
    <xf numFmtId="0" fontId="6" fillId="13" borderId="16" xfId="0" applyFont="1" applyFill="1" applyBorder="1"/>
    <xf numFmtId="0" fontId="6" fillId="13" borderId="17" xfId="0" applyFont="1" applyFill="1" applyBorder="1"/>
    <xf numFmtId="0" fontId="3" fillId="0" borderId="25" xfId="0" applyFont="1" applyBorder="1"/>
    <xf numFmtId="0" fontId="3" fillId="0" borderId="0" xfId="0" applyFont="1" applyAlignment="1">
      <alignment wrapText="1"/>
    </xf>
    <xf numFmtId="9" fontId="6" fillId="0" borderId="31" xfId="0" applyNumberFormat="1" applyFont="1" applyBorder="1" applyAlignment="1">
      <alignment horizontal="center"/>
    </xf>
    <xf numFmtId="173" fontId="3" fillId="0" borderId="0" xfId="8" applyNumberFormat="1" applyFont="1" applyFill="1" applyBorder="1" applyAlignment="1">
      <alignment horizontal="center"/>
    </xf>
    <xf numFmtId="174" fontId="3" fillId="0" borderId="4" xfId="12" applyNumberFormat="1" applyFont="1" applyFill="1" applyBorder="1" applyAlignment="1">
      <alignment horizontal="center"/>
    </xf>
    <xf numFmtId="174" fontId="3" fillId="0" borderId="5" xfId="12" quotePrefix="1" applyNumberFormat="1" applyFont="1" applyFill="1" applyBorder="1" applyAlignment="1">
      <alignment horizontal="center"/>
    </xf>
    <xf numFmtId="174" fontId="3" fillId="0" borderId="0" xfId="12" applyNumberFormat="1" applyFont="1" applyFill="1" applyBorder="1" applyAlignment="1">
      <alignment horizontal="center"/>
    </xf>
    <xf numFmtId="174" fontId="3" fillId="0" borderId="0" xfId="12" quotePrefix="1" applyNumberFormat="1" applyFont="1" applyFill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173" fontId="3" fillId="0" borderId="3" xfId="8" applyNumberFormat="1" applyFont="1" applyFill="1" applyBorder="1"/>
    <xf numFmtId="44" fontId="3" fillId="0" borderId="0" xfId="8" applyFont="1" applyFill="1" applyBorder="1"/>
    <xf numFmtId="44" fontId="3" fillId="0" borderId="3" xfId="8" applyFont="1" applyFill="1" applyBorder="1"/>
    <xf numFmtId="44" fontId="3" fillId="0" borderId="31" xfId="8" applyFont="1" applyFill="1" applyBorder="1" applyAlignment="1"/>
    <xf numFmtId="44" fontId="6" fillId="8" borderId="17" xfId="8" applyFont="1" applyFill="1" applyBorder="1" applyAlignment="1"/>
    <xf numFmtId="44" fontId="3" fillId="0" borderId="16" xfId="8" applyFont="1" applyFill="1" applyBorder="1" applyAlignment="1"/>
    <xf numFmtId="10" fontId="3" fillId="0" borderId="0" xfId="9" applyNumberFormat="1" applyFont="1" applyBorder="1" applyAlignment="1">
      <alignment horizontal="center"/>
    </xf>
    <xf numFmtId="44" fontId="6" fillId="0" borderId="0" xfId="8" applyFont="1" applyFill="1" applyBorder="1" applyAlignment="1"/>
    <xf numFmtId="10" fontId="3" fillId="0" borderId="0" xfId="9" applyNumberFormat="1" applyFont="1" applyFill="1" applyBorder="1"/>
    <xf numFmtId="44" fontId="3" fillId="0" borderId="7" xfId="10" applyFont="1" applyBorder="1"/>
    <xf numFmtId="10" fontId="3" fillId="0" borderId="4" xfId="9" applyNumberFormat="1" applyFont="1" applyFill="1" applyBorder="1"/>
    <xf numFmtId="44" fontId="3" fillId="0" borderId="0" xfId="0" applyNumberFormat="1" applyFont="1" applyAlignment="1">
      <alignment horizontal="center"/>
    </xf>
    <xf numFmtId="175" fontId="29" fillId="0" borderId="19" xfId="0" applyNumberFormat="1" applyFont="1" applyBorder="1"/>
    <xf numFmtId="0" fontId="3" fillId="0" borderId="13" xfId="0" applyFont="1" applyBorder="1"/>
    <xf numFmtId="42" fontId="3" fillId="0" borderId="13" xfId="0" applyNumberFormat="1" applyFont="1" applyBorder="1"/>
    <xf numFmtId="42" fontId="3" fillId="0" borderId="24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13" xfId="0" applyNumberFormat="1" applyFont="1" applyBorder="1" applyAlignment="1">
      <alignment horizontal="center"/>
    </xf>
    <xf numFmtId="173" fontId="3" fillId="0" borderId="0" xfId="10" applyNumberFormat="1" applyFont="1" applyFill="1" applyBorder="1" applyAlignment="1">
      <alignment horizontal="center"/>
    </xf>
    <xf numFmtId="174" fontId="3" fillId="0" borderId="4" xfId="9" applyNumberFormat="1" applyFont="1" applyFill="1" applyBorder="1" applyAlignment="1">
      <alignment horizontal="center"/>
    </xf>
    <xf numFmtId="174" fontId="3" fillId="0" borderId="4" xfId="9" quotePrefix="1" applyNumberFormat="1" applyFont="1" applyFill="1" applyBorder="1" applyAlignment="1">
      <alignment horizontal="center"/>
    </xf>
    <xf numFmtId="174" fontId="3" fillId="0" borderId="0" xfId="9" applyNumberFormat="1" applyFont="1" applyFill="1" applyBorder="1" applyAlignment="1">
      <alignment horizontal="center"/>
    </xf>
    <xf numFmtId="174" fontId="3" fillId="0" borderId="0" xfId="9" quotePrefix="1" applyNumberFormat="1" applyFont="1" applyFill="1" applyBorder="1" applyAlignment="1">
      <alignment horizontal="center"/>
    </xf>
    <xf numFmtId="173" fontId="3" fillId="0" borderId="3" xfId="10" applyNumberFormat="1" applyFont="1" applyFill="1" applyBorder="1"/>
    <xf numFmtId="10" fontId="3" fillId="0" borderId="0" xfId="9" applyNumberFormat="1" applyFont="1" applyFill="1" applyAlignment="1">
      <alignment horizontal="center"/>
    </xf>
    <xf numFmtId="0" fontId="6" fillId="0" borderId="22" xfId="0" applyFont="1" applyBorder="1"/>
    <xf numFmtId="10" fontId="3" fillId="0" borderId="4" xfId="0" applyNumberFormat="1" applyFont="1" applyBorder="1"/>
    <xf numFmtId="44" fontId="3" fillId="0" borderId="4" xfId="10" applyFont="1" applyFill="1" applyBorder="1"/>
    <xf numFmtId="44" fontId="6" fillId="8" borderId="5" xfId="10" applyFont="1" applyFill="1" applyBorder="1"/>
    <xf numFmtId="10" fontId="3" fillId="0" borderId="0" xfId="9" applyNumberFormat="1" applyFont="1" applyFill="1"/>
    <xf numFmtId="10" fontId="3" fillId="0" borderId="0" xfId="0" applyNumberFormat="1" applyFont="1" applyAlignment="1">
      <alignment horizontal="center"/>
    </xf>
    <xf numFmtId="174" fontId="3" fillId="0" borderId="5" xfId="9" quotePrefix="1" applyNumberFormat="1" applyFont="1" applyFill="1" applyBorder="1" applyAlignment="1">
      <alignment horizontal="center"/>
    </xf>
    <xf numFmtId="10" fontId="3" fillId="0" borderId="0" xfId="9" applyNumberFormat="1" applyFont="1" applyFill="1" applyBorder="1" applyAlignment="1">
      <alignment horizontal="center"/>
    </xf>
    <xf numFmtId="173" fontId="3" fillId="0" borderId="0" xfId="10" applyNumberFormat="1" applyFont="1" applyFill="1" applyBorder="1" applyAlignment="1"/>
    <xf numFmtId="44" fontId="6" fillId="8" borderId="3" xfId="10" applyFont="1" applyFill="1" applyBorder="1"/>
    <xf numFmtId="0" fontId="3" fillId="0" borderId="12" xfId="0" applyFont="1" applyBorder="1"/>
    <xf numFmtId="9" fontId="3" fillId="0" borderId="13" xfId="0" applyNumberFormat="1" applyFont="1" applyBorder="1"/>
    <xf numFmtId="44" fontId="3" fillId="0" borderId="13" xfId="10" applyFont="1" applyFill="1" applyBorder="1" applyAlignment="1"/>
    <xf numFmtId="44" fontId="3" fillId="0" borderId="14" xfId="10" applyFont="1" applyFill="1" applyBorder="1" applyAlignment="1"/>
    <xf numFmtId="0" fontId="12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0" fontId="6" fillId="0" borderId="3" xfId="9" applyNumberFormat="1" applyFont="1" applyFill="1" applyBorder="1" applyAlignment="1">
      <alignment horizontal="center"/>
    </xf>
    <xf numFmtId="3" fontId="3" fillId="0" borderId="3" xfId="0" applyNumberFormat="1" applyFont="1" applyBorder="1"/>
    <xf numFmtId="0" fontId="32" fillId="0" borderId="2" xfId="0" applyFont="1" applyBorder="1"/>
    <xf numFmtId="171" fontId="3" fillId="0" borderId="0" xfId="0" applyNumberFormat="1" applyFont="1" applyAlignment="1">
      <alignment horizontal="center"/>
    </xf>
    <xf numFmtId="1" fontId="3" fillId="0" borderId="3" xfId="0" applyNumberFormat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1" fontId="3" fillId="0" borderId="24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3" fillId="0" borderId="27" xfId="0" applyFont="1" applyBorder="1"/>
    <xf numFmtId="0" fontId="3" fillId="0" borderId="28" xfId="0" applyFont="1" applyBorder="1"/>
    <xf numFmtId="0" fontId="3" fillId="0" borderId="30" xfId="0" applyFont="1" applyBorder="1"/>
    <xf numFmtId="0" fontId="32" fillId="0" borderId="3" xfId="0" applyFont="1" applyBorder="1" applyAlignment="1">
      <alignment horizontal="right"/>
    </xf>
    <xf numFmtId="44" fontId="3" fillId="0" borderId="3" xfId="10" applyFont="1" applyFill="1" applyBorder="1"/>
    <xf numFmtId="44" fontId="3" fillId="0" borderId="31" xfId="10" applyFont="1" applyFill="1" applyBorder="1" applyAlignment="1"/>
    <xf numFmtId="44" fontId="6" fillId="8" borderId="17" xfId="10" applyFont="1" applyFill="1" applyBorder="1" applyAlignment="1"/>
    <xf numFmtId="10" fontId="3" fillId="0" borderId="16" xfId="0" applyNumberFormat="1" applyFont="1" applyBorder="1"/>
    <xf numFmtId="44" fontId="3" fillId="0" borderId="16" xfId="10" applyFont="1" applyFill="1" applyBorder="1" applyAlignment="1"/>
    <xf numFmtId="44" fontId="6" fillId="0" borderId="14" xfId="10" applyFont="1" applyFill="1" applyBorder="1" applyAlignment="1"/>
    <xf numFmtId="44" fontId="6" fillId="0" borderId="0" xfId="10" applyFont="1" applyFill="1" applyBorder="1" applyAlignment="1"/>
    <xf numFmtId="0" fontId="33" fillId="0" borderId="19" xfId="0" applyFont="1" applyBorder="1"/>
    <xf numFmtId="0" fontId="33" fillId="0" borderId="0" xfId="0" applyFont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9" xfId="0" applyFont="1" applyBorder="1"/>
    <xf numFmtId="44" fontId="3" fillId="0" borderId="0" xfId="10" applyFont="1" applyFill="1" applyBorder="1" applyAlignment="1"/>
    <xf numFmtId="44" fontId="6" fillId="0" borderId="10" xfId="10" applyFont="1" applyFill="1" applyBorder="1" applyAlignment="1"/>
    <xf numFmtId="10" fontId="6" fillId="0" borderId="16" xfId="0" applyNumberFormat="1" applyFont="1" applyBorder="1"/>
    <xf numFmtId="174" fontId="3" fillId="0" borderId="0" xfId="9" applyNumberFormat="1" applyFont="1" applyFill="1" applyAlignment="1">
      <alignment horizontal="center"/>
    </xf>
    <xf numFmtId="44" fontId="3" fillId="0" borderId="4" xfId="10" applyFont="1" applyFill="1" applyBorder="1" applyAlignment="1"/>
    <xf numFmtId="44" fontId="3" fillId="0" borderId="5" xfId="10" applyFont="1" applyFill="1" applyBorder="1" applyAlignment="1"/>
    <xf numFmtId="44" fontId="3" fillId="0" borderId="13" xfId="10" applyFont="1" applyFill="1" applyBorder="1"/>
    <xf numFmtId="44" fontId="3" fillId="0" borderId="34" xfId="10" applyFont="1" applyFill="1" applyBorder="1" applyAlignment="1"/>
    <xf numFmtId="44" fontId="3" fillId="0" borderId="33" xfId="10" applyFont="1" applyFill="1" applyBorder="1" applyAlignment="1"/>
    <xf numFmtId="9" fontId="6" fillId="0" borderId="4" xfId="0" applyNumberFormat="1" applyFont="1" applyBorder="1" applyAlignment="1">
      <alignment horizontal="center"/>
    </xf>
    <xf numFmtId="10" fontId="3" fillId="0" borderId="13" xfId="0" applyNumberFormat="1" applyFont="1" applyBorder="1" applyAlignment="1">
      <alignment horizontal="center"/>
    </xf>
    <xf numFmtId="10" fontId="6" fillId="0" borderId="0" xfId="9" applyNumberFormat="1" applyFont="1" applyFill="1" applyAlignment="1">
      <alignment horizontal="center"/>
    </xf>
    <xf numFmtId="16" fontId="6" fillId="0" borderId="0" xfId="0" quotePrefix="1" applyNumberFormat="1" applyFont="1"/>
    <xf numFmtId="173" fontId="6" fillId="0" borderId="0" xfId="10" applyNumberFormat="1" applyFont="1" applyFill="1" applyBorder="1" applyAlignment="1"/>
    <xf numFmtId="0" fontId="6" fillId="0" borderId="7" xfId="0" applyFont="1" applyBorder="1"/>
    <xf numFmtId="9" fontId="3" fillId="0" borderId="0" xfId="0" applyNumberFormat="1" applyFont="1"/>
    <xf numFmtId="0" fontId="34" fillId="0" borderId="0" xfId="0" quotePrefix="1" applyFont="1" applyAlignment="1">
      <alignment horizontal="right"/>
    </xf>
    <xf numFmtId="0" fontId="35" fillId="0" borderId="0" xfId="13" applyFont="1"/>
    <xf numFmtId="14" fontId="37" fillId="0" borderId="0" xfId="14" applyNumberFormat="1" applyFont="1" applyAlignment="1">
      <alignment horizontal="left"/>
    </xf>
    <xf numFmtId="0" fontId="22" fillId="0" borderId="18" xfId="13" applyFont="1" applyBorder="1" applyAlignment="1">
      <alignment horizontal="right"/>
    </xf>
    <xf numFmtId="0" fontId="22" fillId="0" borderId="1" xfId="13" applyFont="1" applyBorder="1" applyAlignment="1">
      <alignment horizontal="center"/>
    </xf>
    <xf numFmtId="0" fontId="22" fillId="0" borderId="1" xfId="13" applyFont="1" applyBorder="1" applyAlignment="1">
      <alignment horizontal="right"/>
    </xf>
    <xf numFmtId="3" fontId="22" fillId="0" borderId="2" xfId="13" applyNumberFormat="1" applyFont="1" applyBorder="1" applyAlignment="1">
      <alignment horizontal="center"/>
    </xf>
    <xf numFmtId="168" fontId="35" fillId="0" borderId="0" xfId="13" applyNumberFormat="1" applyFont="1"/>
    <xf numFmtId="168" fontId="35" fillId="0" borderId="0" xfId="1" applyNumberFormat="1" applyFont="1" applyBorder="1"/>
    <xf numFmtId="10" fontId="35" fillId="0" borderId="0" xfId="12" applyNumberFormat="1" applyFont="1"/>
    <xf numFmtId="0" fontId="35" fillId="0" borderId="20" xfId="13" applyFont="1" applyBorder="1"/>
    <xf numFmtId="0" fontId="23" fillId="0" borderId="9" xfId="13" applyFont="1" applyBorder="1"/>
    <xf numFmtId="167" fontId="35" fillId="0" borderId="0" xfId="1" applyNumberFormat="1" applyFont="1" applyBorder="1"/>
    <xf numFmtId="10" fontId="35" fillId="0" borderId="0" xfId="9" applyNumberFormat="1" applyFont="1"/>
    <xf numFmtId="0" fontId="22" fillId="0" borderId="23" xfId="13" applyFont="1" applyBorder="1"/>
    <xf numFmtId="0" fontId="22" fillId="0" borderId="13" xfId="13" applyFont="1" applyBorder="1"/>
    <xf numFmtId="166" fontId="22" fillId="0" borderId="24" xfId="13" applyNumberFormat="1" applyFont="1" applyBorder="1"/>
    <xf numFmtId="0" fontId="23" fillId="0" borderId="19" xfId="13" applyFont="1" applyBorder="1"/>
    <xf numFmtId="10" fontId="23" fillId="0" borderId="0" xfId="12" applyNumberFormat="1" applyFont="1" applyFill="1" applyBorder="1" applyAlignment="1">
      <alignment horizontal="center"/>
    </xf>
    <xf numFmtId="166" fontId="23" fillId="0" borderId="3" xfId="13" applyNumberFormat="1" applyFont="1" applyBorder="1"/>
    <xf numFmtId="0" fontId="23" fillId="0" borderId="0" xfId="13" applyFont="1"/>
    <xf numFmtId="0" fontId="22" fillId="0" borderId="27" xfId="13" applyFont="1" applyBorder="1"/>
    <xf numFmtId="0" fontId="22" fillId="0" borderId="28" xfId="13" applyFont="1" applyBorder="1"/>
    <xf numFmtId="44" fontId="22" fillId="0" borderId="28" xfId="13" applyNumberFormat="1" applyFont="1" applyBorder="1"/>
    <xf numFmtId="166" fontId="22" fillId="0" borderId="29" xfId="13" applyNumberFormat="1" applyFont="1" applyBorder="1"/>
    <xf numFmtId="0" fontId="35" fillId="0" borderId="0" xfId="13" applyFont="1" applyAlignment="1">
      <alignment horizontal="left"/>
    </xf>
    <xf numFmtId="0" fontId="22" fillId="0" borderId="30" xfId="13" applyFont="1" applyBorder="1"/>
    <xf numFmtId="0" fontId="23" fillId="0" borderId="20" xfId="13" applyFont="1" applyBorder="1"/>
    <xf numFmtId="166" fontId="22" fillId="0" borderId="21" xfId="13" applyNumberFormat="1" applyFont="1" applyBorder="1"/>
    <xf numFmtId="166" fontId="23" fillId="0" borderId="3" xfId="15" applyNumberFormat="1" applyFont="1" applyFill="1" applyBorder="1"/>
    <xf numFmtId="0" fontId="38" fillId="0" borderId="0" xfId="13" applyFont="1" applyAlignment="1">
      <alignment horizontal="left"/>
    </xf>
    <xf numFmtId="44" fontId="23" fillId="0" borderId="0" xfId="15" applyFont="1" applyFill="1" applyBorder="1"/>
    <xf numFmtId="168" fontId="23" fillId="0" borderId="3" xfId="15" applyNumberFormat="1" applyFont="1" applyFill="1" applyBorder="1"/>
    <xf numFmtId="8" fontId="38" fillId="0" borderId="0" xfId="13" applyNumberFormat="1" applyFont="1" applyAlignment="1">
      <alignment horizontal="left"/>
    </xf>
    <xf numFmtId="175" fontId="22" fillId="0" borderId="15" xfId="13" applyNumberFormat="1" applyFont="1" applyBorder="1"/>
    <xf numFmtId="9" fontId="22" fillId="0" borderId="16" xfId="12" applyFont="1" applyFill="1" applyBorder="1" applyAlignment="1">
      <alignment horizontal="center"/>
    </xf>
    <xf numFmtId="44" fontId="23" fillId="0" borderId="16" xfId="15" applyFont="1" applyFill="1" applyBorder="1"/>
    <xf numFmtId="168" fontId="22" fillId="8" borderId="17" xfId="15" applyNumberFormat="1" applyFont="1" applyFill="1" applyBorder="1" applyAlignment="1"/>
    <xf numFmtId="44" fontId="23" fillId="0" borderId="16" xfId="15" applyFont="1" applyFill="1" applyBorder="1" applyAlignment="1"/>
    <xf numFmtId="168" fontId="22" fillId="0" borderId="17" xfId="15" applyNumberFormat="1" applyFont="1" applyFill="1" applyBorder="1" applyAlignment="1"/>
    <xf numFmtId="44" fontId="35" fillId="0" borderId="0" xfId="13" applyNumberFormat="1" applyFont="1"/>
    <xf numFmtId="175" fontId="39" fillId="0" borderId="0" xfId="13" applyNumberFormat="1" applyFont="1"/>
    <xf numFmtId="9" fontId="39" fillId="0" borderId="0" xfId="12" applyFont="1" applyFill="1" applyBorder="1" applyAlignment="1">
      <alignment horizontal="center"/>
    </xf>
    <xf numFmtId="44" fontId="39" fillId="0" borderId="0" xfId="15" applyFont="1" applyFill="1" applyBorder="1" applyAlignment="1"/>
    <xf numFmtId="42" fontId="38" fillId="0" borderId="0" xfId="13" applyNumberFormat="1" applyFont="1"/>
    <xf numFmtId="0" fontId="38" fillId="0" borderId="0" xfId="13" applyFont="1"/>
    <xf numFmtId="44" fontId="38" fillId="0" borderId="0" xfId="13" applyNumberFormat="1" applyFont="1"/>
    <xf numFmtId="0" fontId="23" fillId="0" borderId="19" xfId="0" applyFont="1" applyBorder="1"/>
    <xf numFmtId="173" fontId="23" fillId="0" borderId="35" xfId="8" applyNumberFormat="1" applyFont="1" applyFill="1" applyBorder="1"/>
    <xf numFmtId="0" fontId="23" fillId="0" borderId="3" xfId="13" applyFont="1" applyBorder="1" applyAlignment="1">
      <alignment horizontal="right"/>
    </xf>
    <xf numFmtId="173" fontId="23" fillId="0" borderId="36" xfId="8" applyNumberFormat="1" applyFont="1" applyFill="1" applyBorder="1"/>
    <xf numFmtId="173" fontId="23" fillId="0" borderId="37" xfId="8" applyNumberFormat="1" applyFont="1" applyFill="1" applyBorder="1"/>
    <xf numFmtId="0" fontId="23" fillId="0" borderId="16" xfId="13" applyFont="1" applyBorder="1"/>
    <xf numFmtId="0" fontId="23" fillId="0" borderId="16" xfId="13" applyFont="1" applyBorder="1" applyAlignment="1">
      <alignment horizontal="left"/>
    </xf>
    <xf numFmtId="0" fontId="23" fillId="0" borderId="17" xfId="13" applyFont="1" applyBorder="1" applyAlignment="1">
      <alignment horizontal="right"/>
    </xf>
    <xf numFmtId="2" fontId="23" fillId="0" borderId="35" xfId="0" applyNumberFormat="1" applyFont="1" applyBorder="1"/>
    <xf numFmtId="2" fontId="23" fillId="0" borderId="9" xfId="0" applyNumberFormat="1" applyFont="1" applyBorder="1"/>
    <xf numFmtId="2" fontId="23" fillId="0" borderId="38" xfId="0" applyNumberFormat="1" applyFont="1" applyBorder="1"/>
    <xf numFmtId="0" fontId="23" fillId="0" borderId="1" xfId="13" applyFont="1" applyBorder="1"/>
    <xf numFmtId="0" fontId="23" fillId="0" borderId="1" xfId="13" applyFont="1" applyBorder="1" applyAlignment="1">
      <alignment horizontal="left"/>
    </xf>
    <xf numFmtId="0" fontId="23" fillId="0" borderId="2" xfId="13" applyFont="1" applyBorder="1" applyAlignment="1">
      <alignment horizontal="right"/>
    </xf>
    <xf numFmtId="0" fontId="35" fillId="0" borderId="0" xfId="13" applyFont="1" applyAlignment="1">
      <alignment horizontal="center"/>
    </xf>
    <xf numFmtId="10" fontId="23" fillId="0" borderId="7" xfId="16" applyNumberFormat="1" applyFont="1" applyFill="1" applyBorder="1" applyAlignment="1">
      <alignment horizontal="center"/>
    </xf>
    <xf numFmtId="0" fontId="23" fillId="0" borderId="7" xfId="13" applyFont="1" applyBorder="1"/>
    <xf numFmtId="0" fontId="23" fillId="0" borderId="7" xfId="13" applyFont="1" applyBorder="1" applyAlignment="1">
      <alignment horizontal="left"/>
    </xf>
    <xf numFmtId="43" fontId="35" fillId="0" borderId="0" xfId="1" applyFont="1"/>
    <xf numFmtId="3" fontId="35" fillId="0" borderId="0" xfId="13" applyNumberFormat="1" applyFont="1" applyAlignment="1">
      <alignment horizontal="center"/>
    </xf>
    <xf numFmtId="7" fontId="23" fillId="0" borderId="0" xfId="8" applyNumberFormat="1" applyFont="1" applyFill="1" applyBorder="1" applyAlignment="1">
      <alignment horizontal="center"/>
    </xf>
    <xf numFmtId="44" fontId="23" fillId="0" borderId="0" xfId="8" applyFont="1" applyFill="1" applyBorder="1" applyAlignment="1">
      <alignment horizontal="center"/>
    </xf>
    <xf numFmtId="4" fontId="35" fillId="0" borderId="0" xfId="13" applyNumberFormat="1" applyFont="1" applyAlignment="1">
      <alignment horizontal="center"/>
    </xf>
    <xf numFmtId="44" fontId="35" fillId="0" borderId="0" xfId="8" applyFont="1"/>
    <xf numFmtId="7" fontId="23" fillId="0" borderId="9" xfId="8" applyNumberFormat="1" applyFont="1" applyFill="1" applyBorder="1" applyAlignment="1">
      <alignment horizontal="center"/>
    </xf>
    <xf numFmtId="10" fontId="23" fillId="0" borderId="0" xfId="16" applyNumberFormat="1" applyFont="1" applyFill="1" applyBorder="1" applyAlignment="1">
      <alignment horizontal="center"/>
    </xf>
    <xf numFmtId="0" fontId="35" fillId="0" borderId="0" xfId="13" applyFont="1" applyAlignment="1">
      <alignment horizontal="right"/>
    </xf>
    <xf numFmtId="0" fontId="35" fillId="0" borderId="32" xfId="13" applyFont="1" applyBorder="1"/>
    <xf numFmtId="0" fontId="35" fillId="0" borderId="18" xfId="13" applyFont="1" applyBorder="1"/>
    <xf numFmtId="0" fontId="35" fillId="0" borderId="1" xfId="13" applyFont="1" applyBorder="1"/>
    <xf numFmtId="0" fontId="35" fillId="0" borderId="2" xfId="13" applyFont="1" applyBorder="1"/>
    <xf numFmtId="0" fontId="35" fillId="0" borderId="19" xfId="13" applyFont="1" applyBorder="1"/>
    <xf numFmtId="0" fontId="35" fillId="0" borderId="3" xfId="13" applyFont="1" applyBorder="1"/>
    <xf numFmtId="0" fontId="35" fillId="0" borderId="22" xfId="13" applyFont="1" applyBorder="1"/>
    <xf numFmtId="0" fontId="35" fillId="0" borderId="4" xfId="13" applyFont="1" applyBorder="1"/>
    <xf numFmtId="0" fontId="35" fillId="0" borderId="5" xfId="13" applyFont="1" applyBorder="1"/>
    <xf numFmtId="0" fontId="40" fillId="17" borderId="15" xfId="13" quotePrefix="1" applyFont="1" applyFill="1" applyBorder="1" applyAlignment="1">
      <alignment horizontal="center" vertical="center"/>
    </xf>
    <xf numFmtId="0" fontId="40" fillId="17" borderId="16" xfId="13" quotePrefix="1" applyFont="1" applyFill="1" applyBorder="1" applyAlignment="1">
      <alignment horizontal="center" vertical="center"/>
    </xf>
    <xf numFmtId="0" fontId="40" fillId="17" borderId="17" xfId="13" quotePrefix="1" applyFont="1" applyFill="1" applyBorder="1" applyAlignment="1">
      <alignment horizontal="center" vertical="center"/>
    </xf>
    <xf numFmtId="0" fontId="22" fillId="0" borderId="15" xfId="13" applyFont="1" applyBorder="1" applyAlignment="1">
      <alignment horizontal="center" vertical="center"/>
    </xf>
    <xf numFmtId="0" fontId="22" fillId="0" borderId="16" xfId="13" applyFont="1" applyBorder="1" applyAlignment="1">
      <alignment horizontal="center" vertical="center"/>
    </xf>
    <xf numFmtId="0" fontId="22" fillId="0" borderId="17" xfId="13" applyFont="1" applyBorder="1" applyAlignment="1">
      <alignment horizontal="center" vertical="center"/>
    </xf>
    <xf numFmtId="0" fontId="22" fillId="0" borderId="13" xfId="13" applyFont="1" applyBorder="1" applyAlignment="1">
      <alignment horizontal="center"/>
    </xf>
    <xf numFmtId="0" fontId="22" fillId="0" borderId="24" xfId="13" applyFont="1" applyBorder="1" applyAlignment="1">
      <alignment horizontal="center"/>
    </xf>
    <xf numFmtId="10" fontId="23" fillId="0" borderId="0" xfId="13" applyNumberFormat="1" applyFont="1" applyAlignment="1">
      <alignment horizontal="center"/>
    </xf>
    <xf numFmtId="44" fontId="23" fillId="0" borderId="0" xfId="13" applyNumberFormat="1" applyFont="1"/>
    <xf numFmtId="0" fontId="23" fillId="0" borderId="0" xfId="13" applyFont="1" applyAlignment="1">
      <alignment horizontal="center"/>
    </xf>
    <xf numFmtId="4" fontId="22" fillId="0" borderId="13" xfId="13" applyNumberFormat="1" applyFont="1" applyBorder="1" applyAlignment="1">
      <alignment horizontal="center"/>
    </xf>
    <xf numFmtId="0" fontId="23" fillId="0" borderId="0" xfId="14" applyFont="1"/>
    <xf numFmtId="1" fontId="22" fillId="0" borderId="19" xfId="14" applyNumberFormat="1" applyFont="1" applyBorder="1" applyAlignment="1">
      <alignment horizontal="center"/>
    </xf>
    <xf numFmtId="3" fontId="22" fillId="0" borderId="0" xfId="14" applyNumberFormat="1" applyFont="1" applyAlignment="1">
      <alignment horizontal="center"/>
    </xf>
    <xf numFmtId="171" fontId="22" fillId="0" borderId="0" xfId="14" applyNumberFormat="1" applyFont="1" applyAlignment="1">
      <alignment horizontal="right"/>
    </xf>
    <xf numFmtId="3" fontId="22" fillId="0" borderId="3" xfId="14" applyNumberFormat="1" applyFont="1" applyBorder="1" applyAlignment="1">
      <alignment horizontal="center"/>
    </xf>
    <xf numFmtId="0" fontId="25" fillId="0" borderId="19" xfId="0" applyFont="1" applyBorder="1"/>
    <xf numFmtId="171" fontId="23" fillId="0" borderId="0" xfId="14" applyNumberFormat="1" applyFont="1" applyAlignment="1">
      <alignment horizontal="center"/>
    </xf>
    <xf numFmtId="44" fontId="25" fillId="0" borderId="19" xfId="8" applyFont="1" applyFill="1" applyBorder="1" applyAlignment="1">
      <alignment horizontal="left"/>
    </xf>
    <xf numFmtId="2" fontId="22" fillId="0" borderId="39" xfId="14" applyNumberFormat="1" applyFont="1" applyBorder="1" applyAlignment="1">
      <alignment horizontal="left"/>
    </xf>
    <xf numFmtId="171" fontId="22" fillId="0" borderId="40" xfId="14" applyNumberFormat="1" applyFont="1" applyBorder="1" applyAlignment="1">
      <alignment horizontal="center"/>
    </xf>
    <xf numFmtId="4" fontId="22" fillId="0" borderId="40" xfId="14" applyNumberFormat="1" applyFont="1" applyBorder="1" applyAlignment="1">
      <alignment horizontal="center"/>
    </xf>
    <xf numFmtId="166" fontId="22" fillId="0" borderId="41" xfId="14" applyNumberFormat="1" applyFont="1" applyBorder="1" applyAlignment="1">
      <alignment horizontal="center"/>
    </xf>
    <xf numFmtId="0" fontId="22" fillId="0" borderId="0" xfId="14" applyFont="1"/>
    <xf numFmtId="166" fontId="23" fillId="0" borderId="3" xfId="14" applyNumberFormat="1" applyFont="1" applyBorder="1" applyAlignment="1">
      <alignment horizontal="right"/>
    </xf>
    <xf numFmtId="1" fontId="23" fillId="0" borderId="19" xfId="14" applyNumberFormat="1" applyFont="1" applyBorder="1"/>
    <xf numFmtId="10" fontId="23" fillId="0" borderId="0" xfId="14" applyNumberFormat="1" applyFont="1" applyAlignment="1">
      <alignment horizontal="center"/>
    </xf>
    <xf numFmtId="10" fontId="23" fillId="0" borderId="0" xfId="14" applyNumberFormat="1" applyFont="1"/>
    <xf numFmtId="2" fontId="22" fillId="0" borderId="42" xfId="14" applyNumberFormat="1" applyFont="1" applyBorder="1" applyAlignment="1">
      <alignment horizontal="left"/>
    </xf>
    <xf numFmtId="171" fontId="22" fillId="0" borderId="43" xfId="14" applyNumberFormat="1" applyFont="1" applyBorder="1" applyAlignment="1">
      <alignment horizontal="center"/>
    </xf>
    <xf numFmtId="171" fontId="22" fillId="0" borderId="43" xfId="14" applyNumberFormat="1" applyFont="1" applyBorder="1"/>
    <xf numFmtId="166" fontId="22" fillId="0" borderId="44" xfId="14" applyNumberFormat="1" applyFont="1" applyBorder="1" applyAlignment="1">
      <alignment horizontal="right"/>
    </xf>
    <xf numFmtId="0" fontId="23" fillId="0" borderId="19" xfId="14" applyFont="1" applyBorder="1"/>
    <xf numFmtId="175" fontId="23" fillId="0" borderId="0" xfId="14" applyNumberFormat="1" applyFont="1" applyAlignment="1">
      <alignment horizontal="center"/>
    </xf>
    <xf numFmtId="44" fontId="23" fillId="0" borderId="19" xfId="17" applyFont="1" applyFill="1" applyBorder="1" applyAlignment="1"/>
    <xf numFmtId="0" fontId="23" fillId="0" borderId="0" xfId="14" applyFont="1" applyAlignment="1">
      <alignment horizontal="center"/>
    </xf>
    <xf numFmtId="10" fontId="23" fillId="0" borderId="0" xfId="18" applyNumberFormat="1" applyFont="1" applyFill="1" applyBorder="1" applyAlignment="1">
      <alignment horizontal="center"/>
    </xf>
    <xf numFmtId="44" fontId="22" fillId="0" borderId="45" xfId="17" applyFont="1" applyFill="1" applyBorder="1" applyAlignment="1"/>
    <xf numFmtId="0" fontId="23" fillId="0" borderId="28" xfId="14" applyFont="1" applyBorder="1" applyAlignment="1">
      <alignment horizontal="center"/>
    </xf>
    <xf numFmtId="10" fontId="23" fillId="0" borderId="28" xfId="18" applyNumberFormat="1" applyFont="1" applyFill="1" applyBorder="1" applyAlignment="1">
      <alignment horizontal="center"/>
    </xf>
    <xf numFmtId="166" fontId="22" fillId="0" borderId="46" xfId="14" applyNumberFormat="1" applyFont="1" applyBorder="1" applyAlignment="1">
      <alignment horizontal="right"/>
    </xf>
    <xf numFmtId="44" fontId="23" fillId="0" borderId="30" xfId="17" applyFont="1" applyFill="1" applyBorder="1" applyAlignment="1"/>
    <xf numFmtId="0" fontId="23" fillId="0" borderId="20" xfId="14" applyFont="1" applyBorder="1" applyAlignment="1">
      <alignment horizontal="center"/>
    </xf>
    <xf numFmtId="10" fontId="23" fillId="0" borderId="20" xfId="18" applyNumberFormat="1" applyFont="1" applyFill="1" applyBorder="1" applyAlignment="1">
      <alignment horizontal="center"/>
    </xf>
    <xf numFmtId="166" fontId="23" fillId="0" borderId="21" xfId="14" applyNumberFormat="1" applyFont="1" applyBorder="1" applyAlignment="1">
      <alignment horizontal="right"/>
    </xf>
    <xf numFmtId="44" fontId="22" fillId="0" borderId="19" xfId="17" applyFont="1" applyFill="1" applyBorder="1" applyAlignment="1"/>
    <xf numFmtId="171" fontId="22" fillId="0" borderId="0" xfId="14" applyNumberFormat="1" applyFont="1" applyAlignment="1">
      <alignment horizontal="center"/>
    </xf>
    <xf numFmtId="171" fontId="22" fillId="0" borderId="0" xfId="14" applyNumberFormat="1" applyFont="1"/>
    <xf numFmtId="166" fontId="22" fillId="0" borderId="3" xfId="14" applyNumberFormat="1" applyFont="1" applyBorder="1" applyAlignment="1">
      <alignment horizontal="right"/>
    </xf>
    <xf numFmtId="175" fontId="43" fillId="0" borderId="15" xfId="0" applyNumberFormat="1" applyFont="1" applyBorder="1"/>
    <xf numFmtId="9" fontId="23" fillId="0" borderId="16" xfId="14" applyNumberFormat="1" applyFont="1" applyBorder="1" applyAlignment="1">
      <alignment horizontal="center"/>
    </xf>
    <xf numFmtId="10" fontId="23" fillId="0" borderId="16" xfId="14" applyNumberFormat="1" applyFont="1" applyBorder="1" applyAlignment="1">
      <alignment horizontal="center"/>
    </xf>
    <xf numFmtId="168" fontId="22" fillId="0" borderId="17" xfId="14" applyNumberFormat="1" applyFont="1" applyBorder="1" applyAlignment="1">
      <alignment horizontal="right"/>
    </xf>
    <xf numFmtId="175" fontId="43" fillId="0" borderId="22" xfId="0" applyNumberFormat="1" applyFont="1" applyBorder="1"/>
    <xf numFmtId="9" fontId="23" fillId="0" borderId="4" xfId="14" applyNumberFormat="1" applyFont="1" applyBorder="1" applyAlignment="1">
      <alignment horizontal="center"/>
    </xf>
    <xf numFmtId="10" fontId="23" fillId="0" borderId="4" xfId="14" applyNumberFormat="1" applyFont="1" applyBorder="1" applyAlignment="1">
      <alignment horizontal="center"/>
    </xf>
    <xf numFmtId="168" fontId="22" fillId="0" borderId="5" xfId="14" applyNumberFormat="1" applyFont="1" applyBorder="1" applyAlignment="1">
      <alignment horizontal="right"/>
    </xf>
    <xf numFmtId="8" fontId="23" fillId="0" borderId="0" xfId="14" applyNumberFormat="1" applyFont="1" applyAlignment="1">
      <alignment horizontal="right"/>
    </xf>
    <xf numFmtId="8" fontId="23" fillId="0" borderId="0" xfId="14" applyNumberFormat="1" applyFont="1" applyAlignment="1">
      <alignment horizontal="left"/>
    </xf>
    <xf numFmtId="168" fontId="22" fillId="8" borderId="5" xfId="14" applyNumberFormat="1" applyFont="1" applyFill="1" applyBorder="1" applyAlignment="1">
      <alignment horizontal="right"/>
    </xf>
    <xf numFmtId="10" fontId="23" fillId="0" borderId="0" xfId="12" applyNumberFormat="1" applyFont="1" applyAlignment="1"/>
    <xf numFmtId="49" fontId="42" fillId="0" borderId="0" xfId="14" applyNumberFormat="1" applyFont="1" applyAlignment="1">
      <alignment horizontal="center" vertical="center"/>
    </xf>
    <xf numFmtId="0" fontId="22" fillId="0" borderId="16" xfId="14" applyFont="1" applyBorder="1" applyAlignment="1">
      <alignment horizontal="center"/>
    </xf>
    <xf numFmtId="0" fontId="22" fillId="0" borderId="17" xfId="14" applyFont="1" applyBorder="1" applyAlignment="1">
      <alignment horizontal="center"/>
    </xf>
    <xf numFmtId="0" fontId="22" fillId="0" borderId="0" xfId="14" applyFont="1" applyAlignment="1">
      <alignment horizontal="center"/>
    </xf>
    <xf numFmtId="0" fontId="22" fillId="0" borderId="3" xfId="14" applyFont="1" applyBorder="1" applyAlignment="1">
      <alignment horizontal="center"/>
    </xf>
    <xf numFmtId="0" fontId="23" fillId="0" borderId="3" xfId="14" applyFont="1" applyBorder="1"/>
    <xf numFmtId="0" fontId="25" fillId="0" borderId="0" xfId="8" applyNumberFormat="1" applyFont="1" applyFill="1" applyBorder="1" applyAlignment="1">
      <alignment horizontal="right"/>
    </xf>
    <xf numFmtId="0" fontId="35" fillId="0" borderId="0" xfId="13" applyFont="1" applyAlignment="1">
      <alignment horizontal="center" wrapText="1"/>
    </xf>
    <xf numFmtId="0" fontId="23" fillId="0" borderId="18" xfId="14" applyFont="1" applyBorder="1"/>
    <xf numFmtId="10" fontId="23" fillId="0" borderId="1" xfId="14" applyNumberFormat="1" applyFont="1" applyBorder="1" applyAlignment="1">
      <alignment horizontal="center"/>
    </xf>
    <xf numFmtId="0" fontId="23" fillId="0" borderId="1" xfId="14" applyFont="1" applyBorder="1"/>
    <xf numFmtId="0" fontId="23" fillId="0" borderId="2" xfId="14" applyFont="1" applyBorder="1"/>
    <xf numFmtId="3" fontId="23" fillId="0" borderId="0" xfId="14" applyNumberFormat="1" applyFont="1"/>
    <xf numFmtId="44" fontId="23" fillId="0" borderId="0" xfId="8" applyFont="1" applyAlignment="1"/>
    <xf numFmtId="0" fontId="23" fillId="0" borderId="22" xfId="14" applyFont="1" applyBorder="1"/>
    <xf numFmtId="0" fontId="23" fillId="0" borderId="4" xfId="14" applyFont="1" applyBorder="1"/>
    <xf numFmtId="0" fontId="23" fillId="0" borderId="5" xfId="14" applyFont="1" applyBorder="1"/>
    <xf numFmtId="0" fontId="23" fillId="0" borderId="16" xfId="14" applyFont="1" applyBorder="1" applyAlignment="1">
      <alignment horizontal="center"/>
    </xf>
    <xf numFmtId="1" fontId="22" fillId="0" borderId="15" xfId="14" applyNumberFormat="1" applyFont="1" applyBorder="1"/>
    <xf numFmtId="171" fontId="22" fillId="0" borderId="16" xfId="14" applyNumberFormat="1" applyFont="1" applyBorder="1" applyAlignment="1">
      <alignment horizontal="center"/>
    </xf>
    <xf numFmtId="1" fontId="22" fillId="0" borderId="16" xfId="14" applyNumberFormat="1" applyFont="1" applyBorder="1" applyAlignment="1">
      <alignment horizontal="center"/>
    </xf>
    <xf numFmtId="171" fontId="22" fillId="0" borderId="17" xfId="14" applyNumberFormat="1" applyFont="1" applyBorder="1" applyAlignment="1">
      <alignment horizontal="center"/>
    </xf>
    <xf numFmtId="43" fontId="6" fillId="0" borderId="0" xfId="1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/>
    </xf>
    <xf numFmtId="43" fontId="6" fillId="0" borderId="47" xfId="1" applyFont="1" applyFill="1" applyBorder="1" applyAlignment="1">
      <alignment horizontal="center"/>
    </xf>
    <xf numFmtId="43" fontId="6" fillId="0" borderId="0" xfId="1" applyFont="1" applyFill="1" applyBorder="1" applyAlignment="1">
      <alignment horizontal="center"/>
    </xf>
    <xf numFmtId="43" fontId="3" fillId="0" borderId="48" xfId="1" applyFont="1" applyFill="1" applyBorder="1"/>
    <xf numFmtId="43" fontId="3" fillId="0" borderId="0" xfId="1" applyFont="1" applyFill="1" applyBorder="1"/>
    <xf numFmtId="0" fontId="3" fillId="0" borderId="49" xfId="0" applyFont="1" applyBorder="1"/>
    <xf numFmtId="0" fontId="3" fillId="0" borderId="36" xfId="0" applyFont="1" applyBorder="1"/>
    <xf numFmtId="42" fontId="6" fillId="0" borderId="28" xfId="0" applyNumberFormat="1" applyFont="1" applyBorder="1"/>
    <xf numFmtId="0" fontId="3" fillId="0" borderId="2" xfId="0" applyFont="1" applyBorder="1"/>
    <xf numFmtId="43" fontId="3" fillId="8" borderId="0" xfId="1" applyFont="1" applyFill="1" applyBorder="1"/>
    <xf numFmtId="0" fontId="3" fillId="0" borderId="19" xfId="0" applyFont="1" applyBorder="1" applyAlignment="1">
      <alignment wrapText="1"/>
    </xf>
    <xf numFmtId="42" fontId="6" fillId="0" borderId="20" xfId="0" applyNumberFormat="1" applyFont="1" applyBorder="1"/>
    <xf numFmtId="167" fontId="6" fillId="0" borderId="50" xfId="1" applyNumberFormat="1" applyFont="1" applyFill="1" applyBorder="1"/>
    <xf numFmtId="167" fontId="6" fillId="0" borderId="0" xfId="1" applyNumberFormat="1" applyFont="1" applyFill="1" applyBorder="1"/>
    <xf numFmtId="43" fontId="6" fillId="0" borderId="0" xfId="1" applyFont="1" applyFill="1" applyBorder="1"/>
    <xf numFmtId="167" fontId="3" fillId="0" borderId="48" xfId="1" applyNumberFormat="1" applyFont="1" applyFill="1" applyBorder="1"/>
    <xf numFmtId="167" fontId="3" fillId="0" borderId="0" xfId="1" applyNumberFormat="1" applyFont="1" applyFill="1" applyBorder="1"/>
    <xf numFmtId="0" fontId="6" fillId="0" borderId="22" xfId="0" applyFont="1" applyBorder="1" applyAlignment="1">
      <alignment horizontal="right"/>
    </xf>
    <xf numFmtId="167" fontId="6" fillId="8" borderId="32" xfId="1" applyNumberFormat="1" applyFont="1" applyFill="1" applyBorder="1" applyAlignment="1">
      <alignment horizontal="center"/>
    </xf>
    <xf numFmtId="167" fontId="6" fillId="0" borderId="19" xfId="1" applyNumberFormat="1" applyFont="1" applyFill="1" applyBorder="1" applyAlignment="1">
      <alignment horizontal="center"/>
    </xf>
    <xf numFmtId="167" fontId="6" fillId="0" borderId="0" xfId="1" applyNumberFormat="1" applyFont="1" applyFill="1" applyBorder="1" applyAlignment="1">
      <alignment horizontal="center"/>
    </xf>
    <xf numFmtId="175" fontId="3" fillId="0" borderId="0" xfId="0" applyNumberFormat="1" applyFont="1"/>
    <xf numFmtId="171" fontId="3" fillId="0" borderId="0" xfId="0" applyNumberFormat="1" applyFont="1"/>
    <xf numFmtId="44" fontId="3" fillId="0" borderId="0" xfId="10" applyFont="1" applyFill="1" applyBorder="1" applyAlignment="1">
      <alignment horizontal="right"/>
    </xf>
    <xf numFmtId="43" fontId="3" fillId="0" borderId="0" xfId="1" applyFont="1" applyFill="1"/>
    <xf numFmtId="0" fontId="44" fillId="0" borderId="0" xfId="0" applyFont="1"/>
    <xf numFmtId="0" fontId="1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44" fontId="6" fillId="0" borderId="7" xfId="0" applyNumberFormat="1" applyFont="1" applyBorder="1"/>
    <xf numFmtId="0" fontId="6" fillId="0" borderId="20" xfId="0" applyFont="1" applyBorder="1"/>
    <xf numFmtId="174" fontId="3" fillId="0" borderId="0" xfId="9" applyNumberFormat="1" applyFont="1" applyFill="1"/>
    <xf numFmtId="173" fontId="3" fillId="0" borderId="0" xfId="10" applyNumberFormat="1" applyFont="1" applyFill="1"/>
    <xf numFmtId="44" fontId="3" fillId="0" borderId="36" xfId="0" applyNumberFormat="1" applyFont="1" applyBorder="1"/>
    <xf numFmtId="175" fontId="3" fillId="0" borderId="6" xfId="0" applyNumberFormat="1" applyFont="1" applyBorder="1"/>
    <xf numFmtId="9" fontId="3" fillId="0" borderId="7" xfId="0" applyNumberFormat="1" applyFont="1" applyBorder="1"/>
    <xf numFmtId="171" fontId="3" fillId="0" borderId="7" xfId="0" applyNumberFormat="1" applyFont="1" applyBorder="1"/>
    <xf numFmtId="44" fontId="3" fillId="0" borderId="7" xfId="10" applyFont="1" applyFill="1" applyBorder="1" applyAlignment="1"/>
    <xf numFmtId="44" fontId="3" fillId="0" borderId="51" xfId="0" applyNumberFormat="1" applyFont="1" applyBorder="1"/>
    <xf numFmtId="175" fontId="3" fillId="0" borderId="9" xfId="0" applyNumberFormat="1" applyFont="1" applyBorder="1"/>
    <xf numFmtId="44" fontId="3" fillId="0" borderId="52" xfId="0" applyNumberFormat="1" applyFont="1" applyBorder="1"/>
    <xf numFmtId="44" fontId="3" fillId="0" borderId="53" xfId="0" applyNumberFormat="1" applyFont="1" applyBorder="1"/>
    <xf numFmtId="9" fontId="3" fillId="0" borderId="0" xfId="9" applyFont="1" applyFill="1"/>
    <xf numFmtId="9" fontId="3" fillId="0" borderId="0" xfId="9" applyFont="1" applyFill="1" applyBorder="1"/>
    <xf numFmtId="44" fontId="3" fillId="0" borderId="54" xfId="0" applyNumberFormat="1" applyFont="1" applyBorder="1"/>
    <xf numFmtId="0" fontId="12" fillId="0" borderId="0" xfId="0" applyFont="1"/>
    <xf numFmtId="0" fontId="6" fillId="0" borderId="0" xfId="0" applyFont="1" applyAlignment="1">
      <alignment horizontal="center" vertical="center"/>
    </xf>
    <xf numFmtId="178" fontId="3" fillId="0" borderId="0" xfId="0" applyNumberFormat="1" applyFont="1"/>
    <xf numFmtId="0" fontId="3" fillId="0" borderId="55" xfId="0" applyFont="1" applyBorder="1"/>
    <xf numFmtId="42" fontId="6" fillId="0" borderId="3" xfId="0" applyNumberFormat="1" applyFont="1" applyBorder="1"/>
    <xf numFmtId="0" fontId="46" fillId="0" borderId="28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6" fillId="0" borderId="15" xfId="0" applyFont="1" applyBorder="1" applyAlignment="1">
      <alignment horizontal="right"/>
    </xf>
    <xf numFmtId="44" fontId="3" fillId="0" borderId="16" xfId="10" applyFont="1" applyFill="1" applyBorder="1"/>
    <xf numFmtId="44" fontId="6" fillId="0" borderId="16" xfId="10" applyFont="1" applyFill="1" applyBorder="1"/>
    <xf numFmtId="173" fontId="6" fillId="8" borderId="17" xfId="10" applyNumberFormat="1" applyFont="1" applyFill="1" applyBorder="1"/>
    <xf numFmtId="10" fontId="3" fillId="0" borderId="0" xfId="9" applyNumberFormat="1" applyFont="1" applyFill="1" applyBorder="1" applyAlignment="1"/>
    <xf numFmtId="0" fontId="3" fillId="0" borderId="13" xfId="0" applyFont="1" applyBorder="1" applyAlignment="1">
      <alignment wrapText="1"/>
    </xf>
    <xf numFmtId="174" fontId="3" fillId="0" borderId="0" xfId="9" applyNumberFormat="1" applyFont="1"/>
    <xf numFmtId="173" fontId="3" fillId="0" borderId="0" xfId="10" applyNumberFormat="1" applyFont="1"/>
    <xf numFmtId="0" fontId="3" fillId="23" borderId="0" xfId="0" applyFont="1" applyFill="1"/>
    <xf numFmtId="10" fontId="3" fillId="23" borderId="0" xfId="0" applyNumberFormat="1" applyFont="1" applyFill="1"/>
    <xf numFmtId="44" fontId="3" fillId="23" borderId="0" xfId="10" applyFont="1" applyFill="1"/>
    <xf numFmtId="44" fontId="3" fillId="23" borderId="36" xfId="10" applyFont="1" applyFill="1" applyBorder="1"/>
    <xf numFmtId="44" fontId="3" fillId="0" borderId="7" xfId="10" applyFont="1" applyBorder="1" applyAlignment="1"/>
    <xf numFmtId="44" fontId="3" fillId="21" borderId="7" xfId="10" applyFont="1" applyFill="1" applyBorder="1" applyAlignment="1"/>
    <xf numFmtId="44" fontId="3" fillId="23" borderId="56" xfId="10" applyFont="1" applyFill="1" applyBorder="1"/>
    <xf numFmtId="44" fontId="3" fillId="0" borderId="0" xfId="10" applyFont="1" applyBorder="1" applyAlignment="1"/>
    <xf numFmtId="44" fontId="3" fillId="0" borderId="10" xfId="10" applyFont="1" applyBorder="1" applyAlignment="1"/>
    <xf numFmtId="44" fontId="3" fillId="0" borderId="13" xfId="10" applyFont="1" applyBorder="1" applyAlignment="1"/>
    <xf numFmtId="44" fontId="3" fillId="0" borderId="14" xfId="10" applyFont="1" applyBorder="1" applyAlignment="1"/>
    <xf numFmtId="44" fontId="3" fillId="23" borderId="57" xfId="10" applyFont="1" applyFill="1" applyBorder="1"/>
    <xf numFmtId="0" fontId="48" fillId="0" borderId="0" xfId="0" applyFont="1"/>
    <xf numFmtId="0" fontId="49" fillId="0" borderId="0" xfId="0" applyFont="1"/>
    <xf numFmtId="0" fontId="25" fillId="0" borderId="0" xfId="0" applyFont="1" applyAlignment="1">
      <alignment wrapText="1"/>
    </xf>
    <xf numFmtId="0" fontId="3" fillId="24" borderId="18" xfId="0" applyFont="1" applyFill="1" applyBorder="1"/>
    <xf numFmtId="0" fontId="3" fillId="24" borderId="1" xfId="0" applyFont="1" applyFill="1" applyBorder="1"/>
    <xf numFmtId="0" fontId="3" fillId="24" borderId="2" xfId="0" applyFont="1" applyFill="1" applyBorder="1"/>
    <xf numFmtId="0" fontId="25" fillId="0" borderId="2" xfId="0" applyFont="1" applyBorder="1" applyAlignment="1">
      <alignment wrapText="1"/>
    </xf>
    <xf numFmtId="0" fontId="44" fillId="0" borderId="19" xfId="0" applyFont="1" applyBorder="1"/>
    <xf numFmtId="0" fontId="25" fillId="0" borderId="3" xfId="0" applyFont="1" applyBorder="1" applyAlignment="1">
      <alignment wrapText="1"/>
    </xf>
    <xf numFmtId="0" fontId="43" fillId="0" borderId="3" xfId="0" applyFont="1" applyBorder="1"/>
    <xf numFmtId="0" fontId="49" fillId="0" borderId="19" xfId="0" applyFont="1" applyBorder="1"/>
    <xf numFmtId="42" fontId="6" fillId="0" borderId="17" xfId="0" applyNumberFormat="1" applyFont="1" applyBorder="1"/>
    <xf numFmtId="0" fontId="43" fillId="0" borderId="19" xfId="0" applyFont="1" applyBorder="1"/>
    <xf numFmtId="44" fontId="3" fillId="0" borderId="0" xfId="8" applyFont="1" applyBorder="1"/>
    <xf numFmtId="44" fontId="6" fillId="0" borderId="16" xfId="8" applyFont="1" applyFill="1" applyBorder="1" applyAlignment="1"/>
    <xf numFmtId="44" fontId="3" fillId="0" borderId="17" xfId="8" applyFont="1" applyFill="1" applyBorder="1" applyAlignment="1"/>
    <xf numFmtId="9" fontId="0" fillId="0" borderId="16" xfId="0" applyNumberFormat="1" applyBorder="1"/>
    <xf numFmtId="44" fontId="51" fillId="0" borderId="16" xfId="8" applyFont="1" applyFill="1" applyBorder="1" applyAlignment="1"/>
    <xf numFmtId="0" fontId="31" fillId="0" borderId="0" xfId="0" applyFont="1"/>
    <xf numFmtId="44" fontId="51" fillId="0" borderId="0" xfId="8" applyFont="1" applyFill="1" applyBorder="1" applyAlignment="1"/>
    <xf numFmtId="44" fontId="0" fillId="0" borderId="0" xfId="0" applyNumberFormat="1"/>
    <xf numFmtId="10" fontId="3" fillId="0" borderId="0" xfId="12" applyNumberFormat="1" applyFont="1" applyBorder="1"/>
    <xf numFmtId="43" fontId="0" fillId="0" borderId="0" xfId="1" applyFont="1"/>
    <xf numFmtId="173" fontId="3" fillId="0" borderId="0" xfId="8" applyNumberFormat="1" applyFont="1" applyBorder="1"/>
    <xf numFmtId="0" fontId="49" fillId="0" borderId="3" xfId="0" applyFont="1" applyBorder="1" applyAlignment="1">
      <alignment horizontal="left" wrapText="1"/>
    </xf>
    <xf numFmtId="10" fontId="1" fillId="0" borderId="0" xfId="12" applyNumberFormat="1" applyFont="1" applyBorder="1"/>
    <xf numFmtId="0" fontId="49" fillId="0" borderId="3" xfId="0" applyFont="1" applyBorder="1" applyAlignment="1">
      <alignment wrapText="1"/>
    </xf>
    <xf numFmtId="0" fontId="1" fillId="0" borderId="3" xfId="19" applyBorder="1"/>
    <xf numFmtId="0" fontId="23" fillId="0" borderId="5" xfId="0" applyFont="1" applyBorder="1" applyAlignment="1">
      <alignment wrapText="1"/>
    </xf>
    <xf numFmtId="0" fontId="0" fillId="0" borderId="13" xfId="0" applyBorder="1"/>
    <xf numFmtId="4" fontId="6" fillId="0" borderId="16" xfId="0" applyNumberFormat="1" applyFont="1" applyBorder="1" applyAlignment="1">
      <alignment horizontal="center"/>
    </xf>
    <xf numFmtId="179" fontId="0" fillId="0" borderId="0" xfId="0" applyNumberFormat="1"/>
    <xf numFmtId="0" fontId="37" fillId="0" borderId="0" xfId="0" applyFont="1"/>
    <xf numFmtId="0" fontId="53" fillId="0" borderId="0" xfId="0" applyFont="1"/>
    <xf numFmtId="0" fontId="23" fillId="0" borderId="0" xfId="0" applyFont="1" applyAlignment="1">
      <alignment wrapText="1"/>
    </xf>
    <xf numFmtId="0" fontId="23" fillId="0" borderId="2" xfId="0" applyFont="1" applyBorder="1" applyAlignment="1">
      <alignment wrapText="1"/>
    </xf>
    <xf numFmtId="0" fontId="29" fillId="0" borderId="19" xfId="0" applyFont="1" applyBorder="1"/>
    <xf numFmtId="0" fontId="29" fillId="0" borderId="0" xfId="0" applyFont="1" applyAlignment="1">
      <alignment horizontal="center"/>
    </xf>
    <xf numFmtId="171" fontId="29" fillId="0" borderId="0" xfId="0" applyNumberFormat="1" applyFont="1" applyAlignment="1">
      <alignment horizontal="center"/>
    </xf>
    <xf numFmtId="0" fontId="23" fillId="0" borderId="3" xfId="0" applyFont="1" applyBorder="1" applyAlignment="1">
      <alignment wrapText="1"/>
    </xf>
    <xf numFmtId="0" fontId="43" fillId="0" borderId="0" xfId="0" applyFont="1" applyAlignment="1">
      <alignment horizontal="center"/>
    </xf>
    <xf numFmtId="0" fontId="43" fillId="0" borderId="0" xfId="0" applyFont="1"/>
    <xf numFmtId="0" fontId="29" fillId="0" borderId="0" xfId="0" applyFont="1"/>
    <xf numFmtId="42" fontId="43" fillId="0" borderId="0" xfId="0" applyNumberFormat="1" applyFont="1"/>
    <xf numFmtId="42" fontId="43" fillId="0" borderId="3" xfId="0" applyNumberFormat="1" applyFont="1" applyBorder="1"/>
    <xf numFmtId="0" fontId="43" fillId="0" borderId="0" xfId="0" applyFont="1" applyAlignment="1">
      <alignment horizontal="right"/>
    </xf>
    <xf numFmtId="174" fontId="43" fillId="0" borderId="0" xfId="12" applyNumberFormat="1" applyFont="1" applyFill="1" applyBorder="1" applyAlignment="1">
      <alignment horizontal="center"/>
    </xf>
    <xf numFmtId="0" fontId="23" fillId="0" borderId="0" xfId="0" applyFont="1"/>
    <xf numFmtId="0" fontId="39" fillId="0" borderId="0" xfId="0" applyFont="1"/>
    <xf numFmtId="0" fontId="55" fillId="0" borderId="0" xfId="0" applyFont="1" applyAlignment="1">
      <alignment horizontal="center"/>
    </xf>
    <xf numFmtId="166" fontId="43" fillId="0" borderId="0" xfId="0" applyNumberFormat="1" applyFont="1" applyAlignment="1">
      <alignment horizontal="right"/>
    </xf>
    <xf numFmtId="0" fontId="39" fillId="0" borderId="0" xfId="0" applyFont="1" applyAlignment="1">
      <alignment horizontal="center"/>
    </xf>
    <xf numFmtId="0" fontId="39" fillId="0" borderId="20" xfId="0" applyFont="1" applyBorder="1" applyAlignment="1">
      <alignment horizontal="center"/>
    </xf>
    <xf numFmtId="173" fontId="43" fillId="0" borderId="3" xfId="0" applyNumberFormat="1" applyFont="1" applyBorder="1"/>
    <xf numFmtId="2" fontId="14" fillId="0" borderId="0" xfId="0" applyNumberFormat="1" applyFont="1" applyAlignment="1">
      <alignment horizontal="center"/>
    </xf>
    <xf numFmtId="0" fontId="29" fillId="0" borderId="27" xfId="0" applyFont="1" applyBorder="1"/>
    <xf numFmtId="0" fontId="29" fillId="0" borderId="28" xfId="0" applyFont="1" applyBorder="1"/>
    <xf numFmtId="42" fontId="29" fillId="0" borderId="29" xfId="0" applyNumberFormat="1" applyFont="1" applyBorder="1"/>
    <xf numFmtId="10" fontId="43" fillId="0" borderId="0" xfId="0" applyNumberFormat="1" applyFont="1"/>
    <xf numFmtId="10" fontId="43" fillId="0" borderId="0" xfId="12" applyNumberFormat="1" applyFont="1" applyBorder="1"/>
    <xf numFmtId="44" fontId="29" fillId="0" borderId="28" xfId="0" applyNumberFormat="1" applyFont="1" applyBorder="1"/>
    <xf numFmtId="44" fontId="43" fillId="0" borderId="0" xfId="0" applyNumberFormat="1" applyFont="1"/>
    <xf numFmtId="2" fontId="43" fillId="0" borderId="0" xfId="0" applyNumberFormat="1" applyFont="1" applyAlignment="1">
      <alignment horizontal="center" wrapText="1"/>
    </xf>
    <xf numFmtId="2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2" fontId="14" fillId="0" borderId="0" xfId="0" applyNumberFormat="1" applyFont="1"/>
    <xf numFmtId="42" fontId="29" fillId="0" borderId="3" xfId="0" applyNumberFormat="1" applyFont="1" applyBorder="1"/>
    <xf numFmtId="0" fontId="29" fillId="0" borderId="15" xfId="0" applyFont="1" applyBorder="1"/>
    <xf numFmtId="0" fontId="43" fillId="0" borderId="16" xfId="0" applyFont="1" applyBorder="1"/>
    <xf numFmtId="10" fontId="43" fillId="0" borderId="16" xfId="0" applyNumberFormat="1" applyFont="1" applyBorder="1"/>
    <xf numFmtId="173" fontId="29" fillId="8" borderId="17" xfId="8" applyNumberFormat="1" applyFont="1" applyFill="1" applyBorder="1" applyAlignment="1">
      <alignment horizontal="right"/>
    </xf>
    <xf numFmtId="173" fontId="53" fillId="0" borderId="0" xfId="10" applyNumberFormat="1" applyFont="1"/>
    <xf numFmtId="175" fontId="29" fillId="0" borderId="0" xfId="0" applyNumberFormat="1" applyFont="1"/>
    <xf numFmtId="171" fontId="29" fillId="0" borderId="0" xfId="0" applyNumberFormat="1" applyFont="1"/>
    <xf numFmtId="44" fontId="29" fillId="0" borderId="0" xfId="8" applyFont="1" applyFill="1" applyBorder="1" applyAlignment="1"/>
    <xf numFmtId="44" fontId="29" fillId="0" borderId="0" xfId="8" applyFont="1" applyFill="1" applyBorder="1"/>
    <xf numFmtId="173" fontId="53" fillId="0" borderId="0" xfId="0" applyNumberFormat="1" applyFont="1"/>
    <xf numFmtId="9" fontId="29" fillId="0" borderId="0" xfId="12" applyFont="1" applyFill="1" applyBorder="1" applyAlignment="1"/>
    <xf numFmtId="10" fontId="53" fillId="0" borderId="0" xfId="9" applyNumberFormat="1" applyFont="1" applyAlignment="1">
      <alignment horizontal="center"/>
    </xf>
    <xf numFmtId="0" fontId="15" fillId="0" borderId="0" xfId="0" applyFont="1"/>
    <xf numFmtId="173" fontId="29" fillId="0" borderId="0" xfId="8" applyNumberFormat="1" applyFont="1" applyFill="1" applyBorder="1" applyAlignment="1">
      <alignment horizontal="right"/>
    </xf>
    <xf numFmtId="10" fontId="56" fillId="0" borderId="0" xfId="9" applyNumberFormat="1" applyFont="1"/>
    <xf numFmtId="10" fontId="43" fillId="0" borderId="0" xfId="12" applyNumberFormat="1" applyFont="1" applyFill="1" applyBorder="1"/>
    <xf numFmtId="44" fontId="23" fillId="0" borderId="0" xfId="0" applyNumberFormat="1" applyFont="1"/>
    <xf numFmtId="173" fontId="23" fillId="0" borderId="0" xfId="0" applyNumberFormat="1" applyFont="1"/>
    <xf numFmtId="10" fontId="43" fillId="0" borderId="0" xfId="12" applyNumberFormat="1" applyFont="1" applyBorder="1" applyAlignment="1">
      <alignment horizontal="right"/>
    </xf>
    <xf numFmtId="44" fontId="43" fillId="0" borderId="3" xfId="12" applyNumberFormat="1" applyFont="1" applyBorder="1" applyAlignment="1">
      <alignment horizontal="left"/>
    </xf>
    <xf numFmtId="1" fontId="23" fillId="0" borderId="0" xfId="0" applyNumberFormat="1" applyFont="1"/>
    <xf numFmtId="0" fontId="14" fillId="0" borderId="4" xfId="0" applyFont="1" applyBorder="1"/>
    <xf numFmtId="0" fontId="14" fillId="0" borderId="13" xfId="0" applyFont="1" applyBorder="1"/>
    <xf numFmtId="42" fontId="43" fillId="0" borderId="0" xfId="0" applyNumberFormat="1" applyFont="1" applyAlignment="1">
      <alignment horizontal="center"/>
    </xf>
    <xf numFmtId="164" fontId="43" fillId="0" borderId="0" xfId="0" applyNumberFormat="1" applyFont="1" applyAlignment="1">
      <alignment horizontal="center" wrapText="1"/>
    </xf>
    <xf numFmtId="10" fontId="23" fillId="0" borderId="0" xfId="9" applyNumberFormat="1" applyFont="1" applyAlignment="1">
      <alignment horizontal="center"/>
    </xf>
    <xf numFmtId="10" fontId="22" fillId="0" borderId="0" xfId="9" applyNumberFormat="1" applyFont="1" applyFill="1"/>
    <xf numFmtId="180" fontId="23" fillId="0" borderId="0" xfId="0" applyNumberFormat="1" applyFont="1"/>
    <xf numFmtId="9" fontId="23" fillId="0" borderId="0" xfId="12" applyFont="1"/>
    <xf numFmtId="44" fontId="43" fillId="0" borderId="0" xfId="8" applyFont="1" applyBorder="1"/>
    <xf numFmtId="10" fontId="43" fillId="0" borderId="4" xfId="0" applyNumberFormat="1" applyFont="1" applyBorder="1"/>
    <xf numFmtId="0" fontId="29" fillId="0" borderId="18" xfId="0" applyFont="1" applyBorder="1"/>
    <xf numFmtId="0" fontId="29" fillId="0" borderId="1" xfId="0" applyFont="1" applyBorder="1" applyAlignment="1">
      <alignment horizontal="center"/>
    </xf>
    <xf numFmtId="0" fontId="29" fillId="0" borderId="1" xfId="0" applyFont="1" applyBorder="1"/>
    <xf numFmtId="3" fontId="29" fillId="0" borderId="2" xfId="0" applyNumberFormat="1" applyFont="1" applyBorder="1"/>
    <xf numFmtId="0" fontId="29" fillId="0" borderId="16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4" fontId="29" fillId="0" borderId="28" xfId="0" applyNumberFormat="1" applyFont="1" applyBorder="1" applyAlignment="1">
      <alignment horizontal="center"/>
    </xf>
    <xf numFmtId="44" fontId="43" fillId="0" borderId="0" xfId="8" applyFont="1" applyFill="1" applyBorder="1"/>
    <xf numFmtId="44" fontId="29" fillId="0" borderId="7" xfId="0" applyNumberFormat="1" applyFont="1" applyBorder="1"/>
    <xf numFmtId="44" fontId="14" fillId="0" borderId="0" xfId="0" applyNumberFormat="1" applyFont="1"/>
    <xf numFmtId="10" fontId="23" fillId="0" borderId="0" xfId="9" applyNumberFormat="1" applyFont="1" applyFill="1" applyBorder="1" applyAlignment="1">
      <alignment horizontal="center"/>
    </xf>
    <xf numFmtId="10" fontId="22" fillId="0" borderId="0" xfId="9" applyNumberFormat="1" applyFont="1" applyFill="1" applyBorder="1"/>
    <xf numFmtId="10" fontId="14" fillId="0" borderId="0" xfId="12" applyNumberFormat="1" applyFont="1" applyBorder="1"/>
    <xf numFmtId="0" fontId="29" fillId="0" borderId="1" xfId="0" applyFont="1" applyBorder="1" applyAlignment="1">
      <alignment horizontal="left"/>
    </xf>
    <xf numFmtId="0" fontId="56" fillId="0" borderId="0" xfId="0" applyFont="1" applyAlignment="1">
      <alignment horizontal="center" vertical="center"/>
    </xf>
    <xf numFmtId="171" fontId="29" fillId="0" borderId="3" xfId="0" applyNumberFormat="1" applyFont="1" applyBorder="1" applyAlignment="1">
      <alignment horizontal="center"/>
    </xf>
    <xf numFmtId="0" fontId="51" fillId="0" borderId="3" xfId="0" applyFont="1" applyBorder="1" applyAlignment="1">
      <alignment horizontal="center" vertical="center"/>
    </xf>
    <xf numFmtId="0" fontId="56" fillId="0" borderId="58" xfId="0" applyFont="1" applyBorder="1"/>
    <xf numFmtId="0" fontId="56" fillId="0" borderId="34" xfId="0" applyFont="1" applyBorder="1" applyAlignment="1">
      <alignment horizontal="left"/>
    </xf>
    <xf numFmtId="0" fontId="56" fillId="0" borderId="34" xfId="0" applyFont="1" applyBorder="1"/>
    <xf numFmtId="3" fontId="56" fillId="0" borderId="59" xfId="0" applyNumberFormat="1" applyFont="1" applyBorder="1"/>
    <xf numFmtId="0" fontId="53" fillId="0" borderId="60" xfId="0" applyFont="1" applyBorder="1"/>
    <xf numFmtId="0" fontId="53" fillId="0" borderId="61" xfId="0" applyFont="1" applyBorder="1"/>
    <xf numFmtId="0" fontId="53" fillId="0" borderId="15" xfId="0" applyFont="1" applyBorder="1"/>
    <xf numFmtId="0" fontId="53" fillId="0" borderId="17" xfId="0" applyFont="1" applyBorder="1"/>
    <xf numFmtId="0" fontId="43" fillId="0" borderId="3" xfId="0" applyFont="1" applyBorder="1" applyAlignment="1">
      <alignment horizontal="center"/>
    </xf>
    <xf numFmtId="0" fontId="43" fillId="0" borderId="62" xfId="0" applyFont="1" applyBorder="1"/>
    <xf numFmtId="2" fontId="29" fillId="0" borderId="11" xfId="0" applyNumberFormat="1" applyFont="1" applyBorder="1" applyAlignment="1">
      <alignment horizontal="center" vertical="center" wrapText="1"/>
    </xf>
    <xf numFmtId="2" fontId="29" fillId="0" borderId="11" xfId="0" applyNumberFormat="1" applyFont="1" applyBorder="1" applyAlignment="1">
      <alignment horizontal="center" vertical="center"/>
    </xf>
    <xf numFmtId="2" fontId="29" fillId="0" borderId="63" xfId="0" applyNumberFormat="1" applyFont="1" applyBorder="1" applyAlignment="1">
      <alignment horizontal="center" vertical="center"/>
    </xf>
    <xf numFmtId="0" fontId="53" fillId="0" borderId="19" xfId="0" applyFont="1" applyBorder="1"/>
    <xf numFmtId="0" fontId="53" fillId="0" borderId="3" xfId="0" applyFont="1" applyBorder="1"/>
    <xf numFmtId="0" fontId="56" fillId="0" borderId="19" xfId="0" applyFont="1" applyBorder="1"/>
    <xf numFmtId="0" fontId="56" fillId="0" borderId="0" xfId="0" applyFont="1"/>
    <xf numFmtId="0" fontId="56" fillId="0" borderId="13" xfId="0" applyFont="1" applyBorder="1" applyAlignment="1">
      <alignment horizontal="center"/>
    </xf>
    <xf numFmtId="0" fontId="56" fillId="0" borderId="24" xfId="0" applyFont="1" applyBorder="1" applyAlignment="1">
      <alignment horizontal="center"/>
    </xf>
    <xf numFmtId="0" fontId="53" fillId="0" borderId="18" xfId="0" applyFont="1" applyBorder="1"/>
    <xf numFmtId="0" fontId="53" fillId="0" borderId="2" xfId="0" applyFont="1" applyBorder="1"/>
    <xf numFmtId="0" fontId="43" fillId="0" borderId="63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173" fontId="53" fillId="0" borderId="3" xfId="10" applyNumberFormat="1" applyFont="1" applyFill="1" applyBorder="1" applyAlignment="1">
      <alignment horizontal="center"/>
    </xf>
    <xf numFmtId="173" fontId="53" fillId="0" borderId="19" xfId="10" applyNumberFormat="1" applyFont="1" applyBorder="1" applyAlignment="1"/>
    <xf numFmtId="173" fontId="53" fillId="0" borderId="3" xfId="10" applyNumberFormat="1" applyFont="1" applyBorder="1"/>
    <xf numFmtId="173" fontId="53" fillId="0" borderId="0" xfId="10" applyNumberFormat="1" applyFont="1" applyFill="1" applyBorder="1"/>
    <xf numFmtId="173" fontId="53" fillId="0" borderId="19" xfId="10" applyNumberFormat="1" applyFont="1" applyBorder="1"/>
    <xf numFmtId="173" fontId="53" fillId="0" borderId="0" xfId="10" applyNumberFormat="1" applyFont="1" applyBorder="1"/>
    <xf numFmtId="0" fontId="43" fillId="0" borderId="23" xfId="0" applyFont="1" applyBorder="1"/>
    <xf numFmtId="0" fontId="43" fillId="0" borderId="13" xfId="0" applyFont="1" applyBorder="1" applyAlignment="1">
      <alignment horizontal="center"/>
    </xf>
    <xf numFmtId="0" fontId="43" fillId="0" borderId="24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42" fontId="53" fillId="0" borderId="0" xfId="0" applyNumberFormat="1" applyFont="1"/>
    <xf numFmtId="4" fontId="53" fillId="0" borderId="0" xfId="0" applyNumberFormat="1" applyFont="1"/>
    <xf numFmtId="173" fontId="53" fillId="0" borderId="3" xfId="10" applyNumberFormat="1" applyFont="1" applyFill="1" applyBorder="1"/>
    <xf numFmtId="173" fontId="53" fillId="0" borderId="19" xfId="10" applyNumberFormat="1" applyFont="1" applyBorder="1" applyAlignment="1">
      <alignment horizontal="right"/>
    </xf>
    <xf numFmtId="2" fontId="44" fillId="0" borderId="0" xfId="0" applyNumberFormat="1" applyFont="1" applyAlignment="1">
      <alignment horizontal="center" wrapText="1"/>
    </xf>
    <xf numFmtId="0" fontId="43" fillId="0" borderId="22" xfId="0" applyFont="1" applyBorder="1"/>
    <xf numFmtId="0" fontId="43" fillId="0" borderId="4" xfId="0" applyFont="1" applyBorder="1" applyAlignment="1">
      <alignment horizontal="right"/>
    </xf>
    <xf numFmtId="174" fontId="43" fillId="0" borderId="5" xfId="12" applyNumberFormat="1" applyFont="1" applyFill="1" applyBorder="1" applyAlignment="1">
      <alignment horizontal="center"/>
    </xf>
    <xf numFmtId="0" fontId="29" fillId="0" borderId="63" xfId="0" applyFont="1" applyBorder="1" applyAlignment="1">
      <alignment horizontal="center" vertical="center"/>
    </xf>
    <xf numFmtId="10" fontId="53" fillId="0" borderId="0" xfId="0" applyNumberFormat="1" applyFont="1"/>
    <xf numFmtId="10" fontId="43" fillId="0" borderId="3" xfId="12" applyNumberFormat="1" applyFont="1" applyFill="1" applyBorder="1"/>
    <xf numFmtId="2" fontId="43" fillId="0" borderId="11" xfId="0" applyNumberFormat="1" applyFont="1" applyBorder="1" applyAlignment="1">
      <alignment horizontal="center" vertical="center" wrapText="1"/>
    </xf>
    <xf numFmtId="44" fontId="43" fillId="0" borderId="3" xfId="12" applyNumberFormat="1" applyFont="1" applyFill="1" applyBorder="1"/>
    <xf numFmtId="0" fontId="56" fillId="0" borderId="27" xfId="0" applyFont="1" applyBorder="1"/>
    <xf numFmtId="0" fontId="56" fillId="0" borderId="28" xfId="0" applyFont="1" applyBorder="1"/>
    <xf numFmtId="4" fontId="56" fillId="0" borderId="28" xfId="0" applyNumberFormat="1" applyFont="1" applyBorder="1"/>
    <xf numFmtId="42" fontId="56" fillId="0" borderId="29" xfId="0" applyNumberFormat="1" applyFont="1" applyBorder="1"/>
    <xf numFmtId="2" fontId="56" fillId="0" borderId="27" xfId="0" applyNumberFormat="1" applyFont="1" applyBorder="1" applyAlignment="1">
      <alignment horizontal="right"/>
    </xf>
    <xf numFmtId="173" fontId="56" fillId="0" borderId="29" xfId="0" applyNumberFormat="1" applyFont="1" applyBorder="1"/>
    <xf numFmtId="173" fontId="56" fillId="0" borderId="0" xfId="0" applyNumberFormat="1" applyFont="1"/>
    <xf numFmtId="43" fontId="56" fillId="0" borderId="27" xfId="1" applyFont="1" applyBorder="1"/>
    <xf numFmtId="43" fontId="56" fillId="0" borderId="15" xfId="1" applyFont="1" applyBorder="1"/>
    <xf numFmtId="173" fontId="56" fillId="0" borderId="32" xfId="1" applyNumberFormat="1" applyFont="1" applyBorder="1"/>
    <xf numFmtId="10" fontId="43" fillId="0" borderId="3" xfId="0" applyNumberFormat="1" applyFont="1" applyBorder="1"/>
    <xf numFmtId="168" fontId="53" fillId="0" borderId="0" xfId="0" applyNumberFormat="1" applyFont="1"/>
    <xf numFmtId="173" fontId="53" fillId="0" borderId="3" xfId="0" applyNumberFormat="1" applyFont="1" applyBorder="1"/>
    <xf numFmtId="44" fontId="53" fillId="0" borderId="19" xfId="8" applyFont="1" applyBorder="1" applyAlignment="1">
      <alignment horizontal="right"/>
    </xf>
    <xf numFmtId="173" fontId="53" fillId="0" borderId="3" xfId="8" applyNumberFormat="1" applyFont="1" applyBorder="1"/>
    <xf numFmtId="173" fontId="53" fillId="0" borderId="0" xfId="8" applyNumberFormat="1" applyFont="1" applyFill="1" applyBorder="1"/>
    <xf numFmtId="44" fontId="53" fillId="0" borderId="19" xfId="8" applyFont="1" applyBorder="1"/>
    <xf numFmtId="173" fontId="53" fillId="0" borderId="0" xfId="8" applyNumberFormat="1" applyFont="1" applyBorder="1"/>
    <xf numFmtId="168" fontId="43" fillId="0" borderId="3" xfId="8" applyNumberFormat="1" applyFont="1" applyFill="1" applyBorder="1" applyAlignment="1">
      <alignment horizontal="right"/>
    </xf>
    <xf numFmtId="44" fontId="53" fillId="0" borderId="23" xfId="8" applyFont="1" applyBorder="1"/>
    <xf numFmtId="168" fontId="53" fillId="0" borderId="19" xfId="8" applyNumberFormat="1" applyFont="1" applyBorder="1"/>
    <xf numFmtId="0" fontId="53" fillId="0" borderId="27" xfId="0" applyFont="1" applyBorder="1" applyAlignment="1">
      <alignment horizontal="right"/>
    </xf>
    <xf numFmtId="173" fontId="56" fillId="0" borderId="27" xfId="0" applyNumberFormat="1" applyFont="1" applyBorder="1"/>
    <xf numFmtId="173" fontId="56" fillId="0" borderId="15" xfId="0" applyNumberFormat="1" applyFont="1" applyBorder="1"/>
    <xf numFmtId="173" fontId="56" fillId="0" borderId="17" xfId="0" applyNumberFormat="1" applyFont="1" applyBorder="1"/>
    <xf numFmtId="10" fontId="43" fillId="0" borderId="3" xfId="12" applyNumberFormat="1" applyFont="1" applyBorder="1" applyAlignment="1">
      <alignment horizontal="right"/>
    </xf>
    <xf numFmtId="10" fontId="56" fillId="0" borderId="0" xfId="0" applyNumberFormat="1" applyFont="1"/>
    <xf numFmtId="42" fontId="56" fillId="0" borderId="3" xfId="0" applyNumberFormat="1" applyFont="1" applyBorder="1"/>
    <xf numFmtId="10" fontId="53" fillId="0" borderId="19" xfId="0" applyNumberFormat="1" applyFont="1" applyBorder="1" applyAlignment="1">
      <alignment horizontal="right"/>
    </xf>
    <xf numFmtId="173" fontId="56" fillId="0" borderId="3" xfId="0" applyNumberFormat="1" applyFont="1" applyBorder="1"/>
    <xf numFmtId="10" fontId="56" fillId="0" borderId="19" xfId="9" applyNumberFormat="1" applyFont="1" applyBorder="1"/>
    <xf numFmtId="10" fontId="43" fillId="0" borderId="5" xfId="12" applyNumberFormat="1" applyFont="1" applyFill="1" applyBorder="1" applyAlignment="1">
      <alignment horizontal="right"/>
    </xf>
    <xf numFmtId="42" fontId="53" fillId="0" borderId="3" xfId="0" applyNumberFormat="1" applyFont="1" applyBorder="1"/>
    <xf numFmtId="10" fontId="53" fillId="0" borderId="19" xfId="12" applyNumberFormat="1" applyFont="1" applyBorder="1"/>
    <xf numFmtId="44" fontId="53" fillId="0" borderId="3" xfId="0" applyNumberFormat="1" applyFont="1" applyBorder="1"/>
    <xf numFmtId="0" fontId="56" fillId="0" borderId="15" xfId="0" applyFont="1" applyBorder="1"/>
    <xf numFmtId="0" fontId="53" fillId="0" borderId="16" xfId="0" applyFont="1" applyBorder="1"/>
    <xf numFmtId="42" fontId="56" fillId="0" borderId="17" xfId="0" applyNumberFormat="1" applyFont="1" applyBorder="1"/>
    <xf numFmtId="0" fontId="53" fillId="0" borderId="15" xfId="0" applyFont="1" applyBorder="1" applyAlignment="1">
      <alignment horizontal="right"/>
    </xf>
    <xf numFmtId="175" fontId="56" fillId="8" borderId="15" xfId="0" applyNumberFormat="1" applyFont="1" applyFill="1" applyBorder="1"/>
    <xf numFmtId="9" fontId="56" fillId="8" borderId="16" xfId="0" applyNumberFormat="1" applyFont="1" applyFill="1" applyBorder="1"/>
    <xf numFmtId="171" fontId="56" fillId="8" borderId="16" xfId="0" applyNumberFormat="1" applyFont="1" applyFill="1" applyBorder="1"/>
    <xf numFmtId="44" fontId="56" fillId="8" borderId="16" xfId="8" applyFont="1" applyFill="1" applyBorder="1" applyAlignment="1"/>
    <xf numFmtId="173" fontId="56" fillId="8" borderId="17" xfId="8" applyNumberFormat="1" applyFont="1" applyFill="1" applyBorder="1"/>
    <xf numFmtId="0" fontId="53" fillId="8" borderId="15" xfId="0" applyFont="1" applyFill="1" applyBorder="1"/>
    <xf numFmtId="173" fontId="56" fillId="0" borderId="0" xfId="8" applyNumberFormat="1" applyFont="1" applyFill="1" applyBorder="1"/>
    <xf numFmtId="173" fontId="56" fillId="0" borderId="19" xfId="8" applyNumberFormat="1" applyFont="1" applyFill="1" applyBorder="1"/>
    <xf numFmtId="173" fontId="56" fillId="0" borderId="3" xfId="8" applyNumberFormat="1" applyFont="1" applyFill="1" applyBorder="1"/>
    <xf numFmtId="173" fontId="53" fillId="0" borderId="17" xfId="8" applyNumberFormat="1" applyFont="1" applyFill="1" applyBorder="1"/>
    <xf numFmtId="173" fontId="53" fillId="0" borderId="19" xfId="8" applyNumberFormat="1" applyFont="1" applyBorder="1"/>
    <xf numFmtId="175" fontId="56" fillId="0" borderId="0" xfId="0" applyNumberFormat="1" applyFont="1"/>
    <xf numFmtId="9" fontId="56" fillId="0" borderId="0" xfId="0" applyNumberFormat="1" applyFont="1"/>
    <xf numFmtId="171" fontId="56" fillId="0" borderId="0" xfId="0" applyNumberFormat="1" applyFont="1"/>
    <xf numFmtId="44" fontId="56" fillId="0" borderId="0" xfId="8" applyFont="1" applyFill="1" applyBorder="1" applyAlignment="1"/>
    <xf numFmtId="44" fontId="56" fillId="0" borderId="0" xfId="8" applyFont="1" applyFill="1" applyBorder="1"/>
    <xf numFmtId="44" fontId="56" fillId="0" borderId="0" xfId="0" applyNumberFormat="1" applyFont="1"/>
    <xf numFmtId="44" fontId="56" fillId="8" borderId="15" xfId="0" applyNumberFormat="1" applyFont="1" applyFill="1" applyBorder="1"/>
    <xf numFmtId="44" fontId="56" fillId="8" borderId="17" xfId="0" applyNumberFormat="1" applyFont="1" applyFill="1" applyBorder="1"/>
    <xf numFmtId="9" fontId="56" fillId="0" borderId="0" xfId="12" applyFont="1" applyFill="1" applyBorder="1" applyAlignment="1"/>
    <xf numFmtId="10" fontId="53" fillId="0" borderId="0" xfId="9" applyNumberFormat="1" applyFont="1" applyFill="1" applyBorder="1"/>
    <xf numFmtId="0" fontId="53" fillId="0" borderId="22" xfId="0" applyFont="1" applyBorder="1"/>
    <xf numFmtId="0" fontId="53" fillId="0" borderId="5" xfId="0" applyFont="1" applyBorder="1"/>
    <xf numFmtId="10" fontId="53" fillId="0" borderId="0" xfId="9" applyNumberFormat="1" applyFont="1" applyFill="1" applyBorder="1" applyAlignment="1"/>
    <xf numFmtId="44" fontId="53" fillId="0" borderId="0" xfId="0" applyNumberFormat="1" applyFont="1"/>
    <xf numFmtId="10" fontId="53" fillId="0" borderId="0" xfId="9" applyNumberFormat="1" applyFont="1" applyFill="1" applyBorder="1" applyAlignment="1">
      <alignment horizontal="center"/>
    </xf>
    <xf numFmtId="0" fontId="22" fillId="0" borderId="15" xfId="14" applyFont="1" applyBorder="1" applyAlignment="1">
      <alignment horizontal="center"/>
    </xf>
    <xf numFmtId="0" fontId="54" fillId="24" borderId="19" xfId="0" applyFont="1" applyFill="1" applyBorder="1" applyAlignment="1">
      <alignment horizontal="center"/>
    </xf>
    <xf numFmtId="0" fontId="54" fillId="24" borderId="0" xfId="0" applyFont="1" applyFill="1" applyAlignment="1">
      <alignment horizontal="center"/>
    </xf>
    <xf numFmtId="0" fontId="12" fillId="15" borderId="18" xfId="0" applyFont="1" applyFill="1" applyBorder="1" applyAlignment="1">
      <alignment horizontal="left"/>
    </xf>
    <xf numFmtId="0" fontId="12" fillId="15" borderId="1" xfId="0" applyFont="1" applyFill="1" applyBorder="1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23" fillId="0" borderId="25" xfId="13" applyFont="1" applyBorder="1"/>
    <xf numFmtId="0" fontId="23" fillId="0" borderId="26" xfId="13" applyFont="1" applyBorder="1" applyAlignment="1">
      <alignment horizontal="right"/>
    </xf>
    <xf numFmtId="0" fontId="23" fillId="0" borderId="0" xfId="13" applyFont="1" applyAlignment="1">
      <alignment horizontal="left"/>
    </xf>
    <xf numFmtId="0" fontId="23" fillId="0" borderId="22" xfId="13" applyFont="1" applyBorder="1"/>
    <xf numFmtId="10" fontId="23" fillId="0" borderId="4" xfId="16" applyNumberFormat="1" applyFont="1" applyFill="1" applyBorder="1" applyAlignment="1">
      <alignment horizontal="center"/>
    </xf>
    <xf numFmtId="0" fontId="23" fillId="0" borderId="4" xfId="13" applyFont="1" applyBorder="1"/>
    <xf numFmtId="0" fontId="23" fillId="0" borderId="4" xfId="13" applyFont="1" applyBorder="1" applyAlignment="1">
      <alignment horizontal="left"/>
    </xf>
    <xf numFmtId="0" fontId="23" fillId="0" borderId="5" xfId="13" applyFont="1" applyBorder="1" applyAlignment="1">
      <alignment horizontal="right"/>
    </xf>
    <xf numFmtId="2" fontId="23" fillId="0" borderId="0" xfId="14" applyNumberFormat="1" applyFont="1" applyAlignment="1">
      <alignment horizontal="right"/>
    </xf>
    <xf numFmtId="166" fontId="23" fillId="0" borderId="0" xfId="14" applyNumberFormat="1" applyFont="1" applyAlignment="1">
      <alignment horizontal="center"/>
    </xf>
    <xf numFmtId="2" fontId="25" fillId="0" borderId="0" xfId="0" applyNumberFormat="1" applyFont="1" applyAlignment="1">
      <alignment horizontal="right"/>
    </xf>
    <xf numFmtId="4" fontId="23" fillId="0" borderId="0" xfId="13" applyNumberFormat="1" applyFont="1"/>
    <xf numFmtId="173" fontId="6" fillId="0" borderId="0" xfId="10" applyNumberFormat="1" applyFont="1" applyFill="1" applyBorder="1"/>
    <xf numFmtId="10" fontId="44" fillId="0" borderId="0" xfId="9" applyNumberFormat="1" applyFont="1" applyFill="1"/>
    <xf numFmtId="0" fontId="6" fillId="0" borderId="0" xfId="0" applyFont="1" applyAlignment="1">
      <alignment horizontal="right"/>
    </xf>
    <xf numFmtId="173" fontId="6" fillId="0" borderId="0" xfId="0" applyNumberFormat="1" applyFont="1"/>
    <xf numFmtId="43" fontId="3" fillId="0" borderId="0" xfId="0" applyNumberFormat="1" applyFont="1"/>
    <xf numFmtId="9" fontId="6" fillId="0" borderId="0" xfId="9" applyFont="1" applyFill="1" applyBorder="1"/>
    <xf numFmtId="9" fontId="6" fillId="0" borderId="0" xfId="0" applyNumberFormat="1" applyFont="1"/>
    <xf numFmtId="10" fontId="44" fillId="0" borderId="0" xfId="9" applyNumberFormat="1" applyFont="1" applyFill="1" applyBorder="1"/>
    <xf numFmtId="0" fontId="32" fillId="0" borderId="0" xfId="0" applyFont="1"/>
    <xf numFmtId="0" fontId="43" fillId="0" borderId="19" xfId="0" applyFont="1" applyBorder="1" applyAlignment="1">
      <alignment horizontal="left"/>
    </xf>
    <xf numFmtId="0" fontId="54" fillId="24" borderId="0" xfId="0" applyFont="1" applyFill="1" applyAlignment="1">
      <alignment horizontal="left"/>
    </xf>
    <xf numFmtId="0" fontId="3" fillId="0" borderId="13" xfId="0" applyFont="1" applyBorder="1" applyAlignment="1">
      <alignment horizontal="left"/>
    </xf>
    <xf numFmtId="173" fontId="3" fillId="0" borderId="24" xfId="2" applyNumberFormat="1" applyFont="1" applyBorder="1" applyAlignment="1">
      <alignment horizontal="center"/>
    </xf>
    <xf numFmtId="10" fontId="3" fillId="0" borderId="13" xfId="0" applyNumberFormat="1" applyFont="1" applyBorder="1"/>
    <xf numFmtId="173" fontId="3" fillId="0" borderId="24" xfId="0" applyNumberFormat="1" applyFont="1" applyBorder="1"/>
    <xf numFmtId="0" fontId="14" fillId="0" borderId="0" xfId="14" applyFont="1"/>
    <xf numFmtId="0" fontId="23" fillId="0" borderId="16" xfId="14" applyFont="1" applyBorder="1"/>
    <xf numFmtId="42" fontId="3" fillId="0" borderId="0" xfId="0" applyNumberFormat="1" applyFont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57" fillId="0" borderId="0" xfId="20" applyFont="1"/>
    <xf numFmtId="0" fontId="58" fillId="0" borderId="0" xfId="20" applyFont="1" applyAlignment="1">
      <alignment horizontal="center"/>
    </xf>
    <xf numFmtId="0" fontId="57" fillId="0" borderId="0" xfId="20" applyFont="1" applyAlignment="1">
      <alignment wrapText="1"/>
    </xf>
    <xf numFmtId="17" fontId="59" fillId="0" borderId="0" xfId="20" applyNumberFormat="1" applyFont="1" applyAlignment="1">
      <alignment horizontal="center"/>
    </xf>
    <xf numFmtId="181" fontId="60" fillId="0" borderId="0" xfId="20" applyNumberFormat="1" applyFont="1" applyAlignment="1">
      <alignment horizontal="left" vertical="top"/>
    </xf>
    <xf numFmtId="0" fontId="60" fillId="0" borderId="0" xfId="20" applyFont="1" applyAlignment="1">
      <alignment horizontal="center"/>
    </xf>
    <xf numFmtId="0" fontId="60" fillId="0" borderId="0" xfId="20" applyFont="1"/>
    <xf numFmtId="9" fontId="60" fillId="0" borderId="0" xfId="20" applyNumberFormat="1" applyFont="1" applyAlignment="1">
      <alignment horizontal="center" wrapText="1"/>
    </xf>
    <xf numFmtId="0" fontId="60" fillId="0" borderId="0" xfId="20" applyFont="1" applyAlignment="1">
      <alignment horizontal="left" wrapText="1"/>
    </xf>
    <xf numFmtId="0" fontId="57" fillId="0" borderId="18" xfId="20" applyFont="1" applyBorder="1"/>
    <xf numFmtId="168" fontId="57" fillId="0" borderId="34" xfId="20" applyNumberFormat="1" applyFont="1" applyBorder="1" applyAlignment="1">
      <alignment horizontal="center"/>
    </xf>
    <xf numFmtId="0" fontId="57" fillId="0" borderId="22" xfId="20" applyFont="1" applyBorder="1"/>
    <xf numFmtId="166" fontId="57" fillId="0" borderId="4" xfId="20" applyNumberFormat="1" applyFont="1" applyBorder="1" applyAlignment="1">
      <alignment horizontal="center"/>
    </xf>
    <xf numFmtId="0" fontId="57" fillId="0" borderId="1" xfId="20" applyFont="1" applyBorder="1"/>
    <xf numFmtId="0" fontId="57" fillId="0" borderId="19" xfId="20" applyFont="1" applyBorder="1"/>
    <xf numFmtId="166" fontId="57" fillId="0" borderId="0" xfId="20" applyNumberFormat="1" applyFont="1" applyAlignment="1">
      <alignment horizontal="center"/>
    </xf>
    <xf numFmtId="0" fontId="57" fillId="0" borderId="4" xfId="20" applyFont="1" applyBorder="1"/>
    <xf numFmtId="0" fontId="57" fillId="0" borderId="18" xfId="20" applyFont="1" applyBorder="1" applyAlignment="1">
      <alignment wrapText="1"/>
    </xf>
    <xf numFmtId="0" fontId="57" fillId="0" borderId="22" xfId="20" applyFont="1" applyBorder="1" applyAlignment="1">
      <alignment wrapText="1"/>
    </xf>
    <xf numFmtId="168" fontId="57" fillId="0" borderId="1" xfId="20" applyNumberFormat="1" applyFont="1" applyBorder="1" applyAlignment="1">
      <alignment horizontal="center"/>
    </xf>
    <xf numFmtId="168" fontId="57" fillId="0" borderId="0" xfId="20" applyNumberFormat="1" applyFont="1" applyAlignment="1">
      <alignment horizontal="center"/>
    </xf>
    <xf numFmtId="0" fontId="57" fillId="0" borderId="0" xfId="20" applyFont="1" applyAlignment="1">
      <alignment horizontal="right" wrapText="1"/>
    </xf>
    <xf numFmtId="0" fontId="57" fillId="0" borderId="0" xfId="20" applyFont="1" applyAlignment="1">
      <alignment horizontal="center"/>
    </xf>
    <xf numFmtId="0" fontId="57" fillId="0" borderId="0" xfId="20" applyFont="1" applyAlignment="1">
      <alignment horizontal="right"/>
    </xf>
    <xf numFmtId="10" fontId="57" fillId="0" borderId="0" xfId="12" applyNumberFormat="1" applyFont="1" applyAlignment="1">
      <alignment horizontal="center"/>
    </xf>
    <xf numFmtId="9" fontId="57" fillId="0" borderId="0" xfId="12" applyFont="1" applyAlignment="1">
      <alignment horizontal="center"/>
    </xf>
    <xf numFmtId="9" fontId="57" fillId="0" borderId="0" xfId="12" applyFont="1"/>
    <xf numFmtId="168" fontId="57" fillId="0" borderId="0" xfId="20" applyNumberFormat="1" applyFont="1"/>
    <xf numFmtId="166" fontId="57" fillId="0" borderId="0" xfId="20" applyNumberFormat="1" applyFont="1"/>
    <xf numFmtId="0" fontId="23" fillId="0" borderId="48" xfId="13" applyFont="1" applyBorder="1"/>
    <xf numFmtId="4" fontId="3" fillId="0" borderId="4" xfId="0" applyNumberFormat="1" applyFont="1" applyBorder="1"/>
    <xf numFmtId="4" fontId="3" fillId="0" borderId="5" xfId="0" applyNumberFormat="1" applyFont="1" applyBorder="1"/>
    <xf numFmtId="0" fontId="51" fillId="0" borderId="0" xfId="0" applyFont="1"/>
    <xf numFmtId="44" fontId="6" fillId="0" borderId="0" xfId="0" applyNumberFormat="1" applyFont="1"/>
    <xf numFmtId="10" fontId="43" fillId="0" borderId="0" xfId="12" applyNumberFormat="1" applyFont="1" applyFill="1" applyBorder="1" applyAlignment="1">
      <alignment horizontal="center"/>
    </xf>
    <xf numFmtId="10" fontId="43" fillId="0" borderId="0" xfId="0" applyNumberFormat="1" applyFont="1" applyAlignment="1">
      <alignment horizontal="center"/>
    </xf>
    <xf numFmtId="168" fontId="43" fillId="0" borderId="0" xfId="8" applyNumberFormat="1" applyFont="1" applyFill="1" applyBorder="1" applyAlignment="1">
      <alignment horizontal="center"/>
    </xf>
    <xf numFmtId="10" fontId="43" fillId="0" borderId="0" xfId="12" applyNumberFormat="1" applyFont="1" applyBorder="1" applyAlignment="1">
      <alignment horizontal="center"/>
    </xf>
    <xf numFmtId="10" fontId="43" fillId="0" borderId="4" xfId="12" applyNumberFormat="1" applyFont="1" applyBorder="1" applyAlignment="1">
      <alignment horizontal="center"/>
    </xf>
    <xf numFmtId="0" fontId="43" fillId="0" borderId="64" xfId="0" applyFont="1" applyBorder="1"/>
    <xf numFmtId="2" fontId="29" fillId="0" borderId="37" xfId="0" applyNumberFormat="1" applyFont="1" applyBorder="1" applyAlignment="1">
      <alignment horizontal="center" vertical="center" wrapText="1"/>
    </xf>
    <xf numFmtId="170" fontId="29" fillId="0" borderId="37" xfId="0" applyNumberFormat="1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164" fontId="43" fillId="0" borderId="11" xfId="0" applyNumberFormat="1" applyFont="1" applyBorder="1" applyAlignment="1">
      <alignment horizontal="center" vertical="center"/>
    </xf>
    <xf numFmtId="2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7" fillId="0" borderId="0" xfId="20" applyFont="1" applyAlignment="1">
      <alignment horizontal="left" vertical="top" wrapText="1"/>
    </xf>
    <xf numFmtId="0" fontId="57" fillId="0" borderId="0" xfId="20" applyFont="1" applyAlignment="1">
      <alignment horizontal="center"/>
    </xf>
    <xf numFmtId="0" fontId="57" fillId="0" borderId="2" xfId="20" applyFont="1" applyBorder="1" applyAlignment="1">
      <alignment horizontal="left" vertical="center" wrapText="1"/>
    </xf>
    <xf numFmtId="0" fontId="57" fillId="0" borderId="5" xfId="20" applyFont="1" applyBorder="1" applyAlignment="1">
      <alignment horizontal="left" vertical="center" wrapText="1"/>
    </xf>
    <xf numFmtId="0" fontId="57" fillId="0" borderId="1" xfId="20" applyFont="1" applyBorder="1" applyAlignment="1">
      <alignment vertical="top" wrapText="1"/>
    </xf>
    <xf numFmtId="0" fontId="57" fillId="0" borderId="4" xfId="20" applyFont="1" applyBorder="1" applyAlignment="1">
      <alignment vertical="top" wrapText="1"/>
    </xf>
    <xf numFmtId="49" fontId="57" fillId="0" borderId="2" xfId="20" applyNumberFormat="1" applyFont="1" applyBorder="1" applyAlignment="1">
      <alignment horizontal="left" vertical="center" wrapText="1"/>
    </xf>
    <xf numFmtId="49" fontId="57" fillId="0" borderId="5" xfId="20" applyNumberFormat="1" applyFont="1" applyBorder="1" applyAlignment="1">
      <alignment horizontal="left" vertical="center" wrapText="1"/>
    </xf>
    <xf numFmtId="0" fontId="57" fillId="0" borderId="3" xfId="20" applyFont="1" applyBorder="1" applyAlignment="1">
      <alignment horizontal="left" vertical="center" wrapText="1"/>
    </xf>
    <xf numFmtId="0" fontId="57" fillId="0" borderId="1" xfId="20" applyFont="1" applyBorder="1" applyAlignment="1">
      <alignment horizontal="left" vertical="top" wrapText="1"/>
    </xf>
    <xf numFmtId="0" fontId="57" fillId="0" borderId="4" xfId="20" applyFont="1" applyBorder="1" applyAlignment="1">
      <alignment horizontal="left" vertical="top" wrapText="1"/>
    </xf>
    <xf numFmtId="0" fontId="12" fillId="15" borderId="19" xfId="0" applyFont="1" applyFill="1" applyBorder="1" applyAlignment="1">
      <alignment horizontal="center"/>
    </xf>
    <xf numFmtId="0" fontId="12" fillId="15" borderId="0" xfId="0" applyFont="1" applyFill="1" applyAlignment="1">
      <alignment horizontal="center"/>
    </xf>
    <xf numFmtId="0" fontId="12" fillId="15" borderId="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6" fillId="13" borderId="18" xfId="0" applyFont="1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6" fillId="13" borderId="22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6" fillId="13" borderId="19" xfId="0" applyFont="1" applyFill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6" fillId="13" borderId="3" xfId="0" applyFont="1" applyFill="1" applyBorder="1" applyAlignment="1">
      <alignment horizontal="center"/>
    </xf>
    <xf numFmtId="171" fontId="6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8" fillId="14" borderId="15" xfId="0" applyFont="1" applyFill="1" applyBorder="1" applyAlignment="1">
      <alignment horizontal="center"/>
    </xf>
    <xf numFmtId="0" fontId="28" fillId="14" borderId="16" xfId="0" applyFont="1" applyFill="1" applyBorder="1" applyAlignment="1">
      <alignment horizontal="center"/>
    </xf>
    <xf numFmtId="0" fontId="28" fillId="14" borderId="17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13" borderId="1" xfId="0" applyFont="1" applyFill="1" applyBorder="1" applyAlignment="1">
      <alignment horizontal="center" wrapText="1"/>
    </xf>
    <xf numFmtId="0" fontId="6" fillId="13" borderId="2" xfId="0" applyFont="1" applyFill="1" applyBorder="1" applyAlignment="1">
      <alignment horizontal="center" wrapText="1"/>
    </xf>
    <xf numFmtId="0" fontId="6" fillId="13" borderId="15" xfId="0" applyFont="1" applyFill="1" applyBorder="1" applyAlignment="1">
      <alignment horizontal="center" wrapText="1"/>
    </xf>
    <xf numFmtId="0" fontId="6" fillId="13" borderId="16" xfId="0" applyFont="1" applyFill="1" applyBorder="1" applyAlignment="1">
      <alignment horizontal="center" wrapText="1"/>
    </xf>
    <xf numFmtId="0" fontId="6" fillId="13" borderId="17" xfId="0" applyFont="1" applyFill="1" applyBorder="1" applyAlignment="1">
      <alignment horizontal="center" wrapText="1"/>
    </xf>
    <xf numFmtId="0" fontId="12" fillId="15" borderId="18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12" fillId="15" borderId="2" xfId="0" applyFont="1" applyFill="1" applyBorder="1" applyAlignment="1">
      <alignment horizontal="center"/>
    </xf>
    <xf numFmtId="0" fontId="6" fillId="13" borderId="22" xfId="0" applyFont="1" applyFill="1" applyBorder="1" applyAlignment="1">
      <alignment horizontal="center" wrapText="1"/>
    </xf>
    <xf numFmtId="0" fontId="6" fillId="13" borderId="4" xfId="0" applyFont="1" applyFill="1" applyBorder="1" applyAlignment="1">
      <alignment horizontal="center" wrapText="1"/>
    </xf>
    <xf numFmtId="0" fontId="6" fillId="13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22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171" fontId="3" fillId="0" borderId="4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5" fillId="10" borderId="16" xfId="0" applyFont="1" applyFill="1" applyBorder="1" applyAlignment="1">
      <alignment horizontal="center"/>
    </xf>
    <xf numFmtId="0" fontId="14" fillId="10" borderId="17" xfId="0" applyFont="1" applyFill="1" applyBorder="1"/>
    <xf numFmtId="0" fontId="14" fillId="0" borderId="1" xfId="0" applyFont="1" applyBorder="1"/>
    <xf numFmtId="0" fontId="14" fillId="0" borderId="2" xfId="0" applyFont="1" applyBorder="1"/>
    <xf numFmtId="0" fontId="14" fillId="0" borderId="0" xfId="0" applyFont="1"/>
    <xf numFmtId="0" fontId="14" fillId="0" borderId="3" xfId="0" applyFont="1" applyBorder="1"/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5" fillId="9" borderId="16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/>
    </xf>
    <xf numFmtId="166" fontId="13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30" fillId="16" borderId="18" xfId="13" applyFont="1" applyFill="1" applyBorder="1" applyAlignment="1">
      <alignment horizontal="center" wrapText="1"/>
    </xf>
    <xf numFmtId="0" fontId="30" fillId="16" borderId="1" xfId="13" applyFont="1" applyFill="1" applyBorder="1" applyAlignment="1">
      <alignment horizontal="center" wrapText="1"/>
    </xf>
    <xf numFmtId="0" fontId="30" fillId="16" borderId="2" xfId="13" applyFont="1" applyFill="1" applyBorder="1" applyAlignment="1">
      <alignment horizontal="center" wrapText="1"/>
    </xf>
    <xf numFmtId="0" fontId="30" fillId="16" borderId="22" xfId="13" applyFont="1" applyFill="1" applyBorder="1" applyAlignment="1">
      <alignment horizontal="center" wrapText="1"/>
    </xf>
    <xf numFmtId="0" fontId="30" fillId="16" borderId="4" xfId="13" applyFont="1" applyFill="1" applyBorder="1" applyAlignment="1">
      <alignment horizontal="center" wrapText="1"/>
    </xf>
    <xf numFmtId="0" fontId="30" fillId="16" borderId="5" xfId="13" applyFont="1" applyFill="1" applyBorder="1" applyAlignment="1">
      <alignment horizontal="center" wrapText="1"/>
    </xf>
    <xf numFmtId="0" fontId="22" fillId="0" borderId="15" xfId="13" applyFont="1" applyBorder="1" applyAlignment="1">
      <alignment horizontal="center"/>
    </xf>
    <xf numFmtId="0" fontId="22" fillId="0" borderId="16" xfId="13" applyFont="1" applyBorder="1" applyAlignment="1">
      <alignment horizontal="center"/>
    </xf>
    <xf numFmtId="0" fontId="22" fillId="0" borderId="18" xfId="13" applyFont="1" applyBorder="1" applyAlignment="1">
      <alignment horizontal="center"/>
    </xf>
    <xf numFmtId="0" fontId="22" fillId="0" borderId="1" xfId="13" applyFont="1" applyBorder="1" applyAlignment="1">
      <alignment horizontal="center"/>
    </xf>
    <xf numFmtId="49" fontId="42" fillId="16" borderId="15" xfId="14" applyNumberFormat="1" applyFont="1" applyFill="1" applyBorder="1" applyAlignment="1">
      <alignment horizontal="center" vertical="center"/>
    </xf>
    <xf numFmtId="49" fontId="42" fillId="16" borderId="16" xfId="14" applyNumberFormat="1" applyFont="1" applyFill="1" applyBorder="1" applyAlignment="1">
      <alignment horizontal="center" vertical="center"/>
    </xf>
    <xf numFmtId="49" fontId="42" fillId="16" borderId="17" xfId="14" applyNumberFormat="1" applyFont="1" applyFill="1" applyBorder="1" applyAlignment="1">
      <alignment horizontal="center" vertical="center"/>
    </xf>
    <xf numFmtId="0" fontId="22" fillId="0" borderId="15" xfId="14" applyFont="1" applyBorder="1" applyAlignment="1">
      <alignment horizontal="center"/>
    </xf>
    <xf numFmtId="0" fontId="22" fillId="0" borderId="16" xfId="14" applyFont="1" applyBorder="1" applyAlignment="1">
      <alignment horizontal="center"/>
    </xf>
    <xf numFmtId="0" fontId="22" fillId="0" borderId="17" xfId="14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173" fontId="3" fillId="0" borderId="0" xfId="0" applyNumberFormat="1" applyFont="1" applyAlignment="1">
      <alignment horizontal="right"/>
    </xf>
    <xf numFmtId="0" fontId="6" fillId="18" borderId="18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6" fillId="18" borderId="2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43" fontId="6" fillId="19" borderId="2" xfId="1" applyFont="1" applyFill="1" applyBorder="1" applyAlignment="1">
      <alignment horizontal="center" vertical="center" wrapText="1"/>
    </xf>
    <xf numFmtId="43" fontId="6" fillId="19" borderId="5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21" borderId="0" xfId="0" applyFont="1" applyFill="1" applyAlignment="1">
      <alignment horizontal="center" vertical="center" wrapText="1"/>
    </xf>
    <xf numFmtId="0" fontId="6" fillId="21" borderId="0" xfId="0" applyFont="1" applyFill="1" applyAlignment="1">
      <alignment horizontal="center" vertical="center"/>
    </xf>
    <xf numFmtId="0" fontId="6" fillId="21" borderId="4" xfId="0" applyFont="1" applyFill="1" applyBorder="1" applyAlignment="1">
      <alignment horizontal="center" vertical="center"/>
    </xf>
    <xf numFmtId="0" fontId="6" fillId="23" borderId="0" xfId="0" applyFont="1" applyFill="1" applyAlignment="1">
      <alignment horizontal="center" wrapText="1"/>
    </xf>
    <xf numFmtId="0" fontId="6" fillId="23" borderId="4" xfId="0" applyFont="1" applyFill="1" applyBorder="1" applyAlignment="1">
      <alignment horizontal="center"/>
    </xf>
    <xf numFmtId="0" fontId="6" fillId="21" borderId="18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/>
    </xf>
    <xf numFmtId="0" fontId="6" fillId="21" borderId="22" xfId="0" applyFont="1" applyFill="1" applyBorder="1" applyAlignment="1">
      <alignment horizontal="center"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/>
    </xf>
    <xf numFmtId="0" fontId="50" fillId="24" borderId="19" xfId="0" applyFont="1" applyFill="1" applyBorder="1" applyAlignment="1">
      <alignment horizontal="center"/>
    </xf>
    <xf numFmtId="0" fontId="50" fillId="24" borderId="0" xfId="0" applyFont="1" applyFill="1" applyAlignment="1">
      <alignment horizontal="center"/>
    </xf>
    <xf numFmtId="0" fontId="50" fillId="24" borderId="18" xfId="0" applyFont="1" applyFill="1" applyBorder="1" applyAlignment="1">
      <alignment horizontal="center"/>
    </xf>
    <xf numFmtId="0" fontId="50" fillId="24" borderId="1" xfId="0" applyFont="1" applyFill="1" applyBorder="1" applyAlignment="1">
      <alignment horizontal="center"/>
    </xf>
    <xf numFmtId="0" fontId="6" fillId="24" borderId="22" xfId="0" applyFont="1" applyFill="1" applyBorder="1" applyAlignment="1">
      <alignment horizontal="center"/>
    </xf>
    <xf numFmtId="0" fontId="6" fillId="24" borderId="4" xfId="0" applyFont="1" applyFill="1" applyBorder="1" applyAlignment="1">
      <alignment horizontal="center"/>
    </xf>
    <xf numFmtId="0" fontId="6" fillId="24" borderId="5" xfId="0" applyFont="1" applyFill="1" applyBorder="1" applyAlignment="1">
      <alignment horizontal="center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/>
    </xf>
    <xf numFmtId="0" fontId="29" fillId="24" borderId="2" xfId="0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" vertical="center"/>
    </xf>
    <xf numFmtId="0" fontId="29" fillId="24" borderId="4" xfId="0" applyFont="1" applyFill="1" applyBorder="1" applyAlignment="1">
      <alignment horizontal="center" vertical="center"/>
    </xf>
    <xf numFmtId="0" fontId="29" fillId="24" borderId="5" xfId="0" applyFont="1" applyFill="1" applyBorder="1" applyAlignment="1">
      <alignment horizontal="center" vertical="center"/>
    </xf>
    <xf numFmtId="0" fontId="29" fillId="24" borderId="18" xfId="0" applyFont="1" applyFill="1" applyBorder="1" applyAlignment="1">
      <alignment horizontal="center"/>
    </xf>
    <xf numFmtId="0" fontId="29" fillId="24" borderId="1" xfId="0" applyFont="1" applyFill="1" applyBorder="1" applyAlignment="1">
      <alignment horizontal="center"/>
    </xf>
    <xf numFmtId="0" fontId="54" fillId="24" borderId="19" xfId="0" applyFont="1" applyFill="1" applyBorder="1" applyAlignment="1">
      <alignment horizontal="center"/>
    </xf>
    <xf numFmtId="0" fontId="54" fillId="24" borderId="0" xfId="0" applyFont="1" applyFill="1" applyAlignment="1">
      <alignment horizontal="center"/>
    </xf>
    <xf numFmtId="0" fontId="54" fillId="24" borderId="19" xfId="0" applyFont="1" applyFill="1" applyBorder="1" applyAlignment="1">
      <alignment horizontal="left"/>
    </xf>
    <xf numFmtId="0" fontId="54" fillId="24" borderId="0" xfId="0" applyFont="1" applyFill="1" applyAlignment="1">
      <alignment horizontal="left"/>
    </xf>
    <xf numFmtId="0" fontId="54" fillId="24" borderId="15" xfId="0" applyFont="1" applyFill="1" applyBorder="1" applyAlignment="1">
      <alignment horizontal="center"/>
    </xf>
    <xf numFmtId="0" fontId="54" fillId="24" borderId="16" xfId="0" applyFont="1" applyFill="1" applyBorder="1" applyAlignment="1">
      <alignment horizontal="center"/>
    </xf>
    <xf numFmtId="0" fontId="54" fillId="24" borderId="17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56" fillId="24" borderId="18" xfId="0" applyFont="1" applyFill="1" applyBorder="1" applyAlignment="1">
      <alignment horizontal="center" vertical="center" wrapText="1"/>
    </xf>
    <xf numFmtId="0" fontId="56" fillId="24" borderId="1" xfId="0" applyFont="1" applyFill="1" applyBorder="1" applyAlignment="1">
      <alignment horizontal="center" vertical="center"/>
    </xf>
    <xf numFmtId="0" fontId="56" fillId="24" borderId="2" xfId="0" applyFont="1" applyFill="1" applyBorder="1" applyAlignment="1">
      <alignment horizontal="center" vertical="center"/>
    </xf>
    <xf numFmtId="0" fontId="56" fillId="24" borderId="22" xfId="0" applyFont="1" applyFill="1" applyBorder="1" applyAlignment="1">
      <alignment horizontal="center" vertical="center"/>
    </xf>
    <xf numFmtId="0" fontId="56" fillId="24" borderId="4" xfId="0" applyFont="1" applyFill="1" applyBorder="1" applyAlignment="1">
      <alignment horizontal="center" vertical="center"/>
    </xf>
    <xf numFmtId="0" fontId="56" fillId="24" borderId="5" xfId="0" applyFont="1" applyFill="1" applyBorder="1" applyAlignment="1">
      <alignment horizontal="center" vertical="center"/>
    </xf>
    <xf numFmtId="0" fontId="56" fillId="18" borderId="18" xfId="0" applyFont="1" applyFill="1" applyBorder="1" applyAlignment="1">
      <alignment horizontal="center" vertical="center"/>
    </xf>
    <xf numFmtId="0" fontId="56" fillId="18" borderId="2" xfId="0" applyFont="1" applyFill="1" applyBorder="1" applyAlignment="1">
      <alignment horizontal="center" vertical="center"/>
    </xf>
    <xf numFmtId="0" fontId="56" fillId="18" borderId="19" xfId="0" applyFont="1" applyFill="1" applyBorder="1" applyAlignment="1">
      <alignment horizontal="center" vertical="center"/>
    </xf>
    <xf numFmtId="0" fontId="56" fillId="18" borderId="3" xfId="0" applyFont="1" applyFill="1" applyBorder="1" applyAlignment="1">
      <alignment horizontal="center" vertical="center"/>
    </xf>
    <xf numFmtId="0" fontId="56" fillId="18" borderId="18" xfId="0" applyFont="1" applyFill="1" applyBorder="1" applyAlignment="1">
      <alignment horizontal="center" vertical="center" wrapText="1"/>
    </xf>
    <xf numFmtId="0" fontId="56" fillId="18" borderId="2" xfId="0" applyFont="1" applyFill="1" applyBorder="1" applyAlignment="1">
      <alignment horizontal="center" vertical="center" wrapText="1"/>
    </xf>
    <xf numFmtId="0" fontId="56" fillId="18" borderId="22" xfId="0" applyFont="1" applyFill="1" applyBorder="1" applyAlignment="1">
      <alignment horizontal="center" vertical="center" wrapText="1"/>
    </xf>
    <xf numFmtId="0" fontId="56" fillId="18" borderId="5" xfId="0" applyFont="1" applyFill="1" applyBorder="1" applyAlignment="1">
      <alignment horizontal="center" vertical="center" wrapText="1"/>
    </xf>
    <xf numFmtId="0" fontId="56" fillId="20" borderId="18" xfId="0" applyFont="1" applyFill="1" applyBorder="1" applyAlignment="1">
      <alignment horizontal="center" vertical="center"/>
    </xf>
    <xf numFmtId="0" fontId="56" fillId="20" borderId="2" xfId="0" applyFont="1" applyFill="1" applyBorder="1" applyAlignment="1">
      <alignment horizontal="center" vertical="center"/>
    </xf>
    <xf numFmtId="0" fontId="56" fillId="20" borderId="22" xfId="0" applyFont="1" applyFill="1" applyBorder="1" applyAlignment="1">
      <alignment horizontal="center" vertical="center"/>
    </xf>
    <xf numFmtId="0" fontId="56" fillId="20" borderId="5" xfId="0" applyFont="1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/>
    </xf>
    <xf numFmtId="0" fontId="29" fillId="24" borderId="16" xfId="0" applyFont="1" applyFill="1" applyBorder="1" applyAlignment="1">
      <alignment horizontal="center"/>
    </xf>
    <xf numFmtId="0" fontId="29" fillId="24" borderId="17" xfId="0" applyFont="1" applyFill="1" applyBorder="1" applyAlignment="1">
      <alignment horizontal="center"/>
    </xf>
    <xf numFmtId="0" fontId="4" fillId="2" borderId="1" xfId="4" applyFont="1" applyFill="1" applyBorder="1" applyAlignment="1">
      <alignment horizontal="left"/>
    </xf>
    <xf numFmtId="0" fontId="4" fillId="2" borderId="2" xfId="4" applyFont="1" applyFill="1" applyBorder="1" applyAlignment="1">
      <alignment horizontal="left"/>
    </xf>
    <xf numFmtId="0" fontId="9" fillId="0" borderId="9" xfId="6" applyBorder="1" applyAlignment="1">
      <alignment horizontal="right"/>
    </xf>
    <xf numFmtId="0" fontId="9" fillId="0" borderId="0" xfId="6" applyAlignment="1">
      <alignment horizontal="right"/>
    </xf>
  </cellXfs>
  <cellStyles count="21">
    <cellStyle name="Comma" xfId="1" builtinId="3"/>
    <cellStyle name="Currency" xfId="2" builtinId="4"/>
    <cellStyle name="Currency 2 2 2" xfId="8" xr:uid="{8B12C450-D952-4CD0-8C19-25015621191F}"/>
    <cellStyle name="Currency 2 4 2" xfId="10" xr:uid="{2FDAEBE6-C6B5-44B4-9A6B-6F6EDB080ACC}"/>
    <cellStyle name="Currency 2 6" xfId="17" xr:uid="{6B75DCC0-5DEA-4BB2-BF51-726883215716}"/>
    <cellStyle name="Currency 4 2" xfId="15" xr:uid="{4952F974-52D7-421A-975E-441680FC724B}"/>
    <cellStyle name="Normal" xfId="0" builtinId="0"/>
    <cellStyle name="Normal 17" xfId="14" xr:uid="{ECA734DD-A9F0-4326-AC10-FF160270E616}"/>
    <cellStyle name="Normal 2 6" xfId="4" xr:uid="{6544A679-6077-4840-89AC-8102DAE86198}"/>
    <cellStyle name="Normal 4 2 4" xfId="6" xr:uid="{0D628517-A392-40B4-96EF-6BF0FB15B110}"/>
    <cellStyle name="Normal 5 3 3" xfId="20" xr:uid="{B769EE8E-2D5A-4A0C-B6E9-5854770CE023}"/>
    <cellStyle name="Normal 5 4 7" xfId="19" xr:uid="{72D9C710-2329-4BAB-97D2-990B033999A0}"/>
    <cellStyle name="Normal 6 2 2 2" xfId="5" xr:uid="{23936A5A-3B31-4D29-89A6-8BF4A1707A67}"/>
    <cellStyle name="Normal 8 2" xfId="11" xr:uid="{22784CAF-7521-4B0D-8994-4DD04D92B498}"/>
    <cellStyle name="Normal 9 2" xfId="13" xr:uid="{5AF3ED0F-73AF-4D04-9EA6-3665EE2AC59D}"/>
    <cellStyle name="Percent" xfId="3" builtinId="5"/>
    <cellStyle name="Percent 10 2" xfId="12" xr:uid="{B5506248-415B-44FE-BF26-1BB74809991A}"/>
    <cellStyle name="Percent 2" xfId="9" xr:uid="{31E3E5D3-AF77-43D5-ACBC-699A1DDF8F80}"/>
    <cellStyle name="Percent 2 2" xfId="7" xr:uid="{F52A5992-39D8-4E6A-9465-B6963BFD9884}"/>
    <cellStyle name="Percent 3" xfId="18" xr:uid="{DDD6EA3C-7653-4A67-BABC-6F3BDD65E4E3}"/>
    <cellStyle name="Percent 4 3" xfId="16" xr:uid="{7FB54A47-4A45-4C0D-AFB4-3A095380A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externalLink" Target="externalLinks/externalLink16.xml"/><Relationship Id="rId54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28.xml"/><Relationship Id="rId58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72</xdr:col>
      <xdr:colOff>0</xdr:colOff>
      <xdr:row>52</xdr:row>
      <xdr:rowOff>126999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24B76DCB-C9ED-48D1-A99D-21CF7D99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77024"/>
          <a:ext cx="8972550" cy="199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E\X\Data%20&amp;%20Reporting%20Tools\STARR%20Utilization\STARR%20Utilization%20Tool%20FY10%20Jun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\X\Data%20&amp;%20Reporting%20Tools\STARR%20Utilization\STARR%20Utilization%20Tool%20FY10%20Jun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YITS%20101%20CMR%20413\FY24%20Rate%20Review\3.%20Proposal%20Signoff\Website\Congregate%20Care%20DCF%20Models%207.1.23%20%2001.10.23_DCF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Administrative%20Services-POS%20Policy%20Office\Rate%20Setting\Rate%20Projects\YITS%20101%20CMR%20413\Rate%20Review%20for%207.1.23\DMH%20Congregate%20Care%20ICS%207.1.23\101%20CMR%20413%20DMH%20ICS%20models%20for%207.1.23%20v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YITS%20101%20CMR%20413\FY24%20Rate%20Review\3.%20Proposal%20Signoff\Website\DPH%20101%20CMR%20413%20Youth%20Resi%20&amp;%20TAYYA%20FY2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dministrative%20Services-POS%20Policy%20Office\Rate%20Setting\Rate%20Projects\YITs%20413-%20FY22%20DCF%20&amp;%20DMH\FY24%20Rate%20Review\1.%20Strategy%20Materials\Y%20Res%20&amp;%20Tayya%20FY2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YITS%20101%20CMR%20413\FY24%20Rate%20Review\3.%20Proposal%20Signoff\Website\IRTP%20CIRT%2011.14.22%20post%20PH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Intermediate%20DCF-DMH%20-%20CMR%20413\July%202020\1.%20Strategy%20Materials\Caring%20Together%2011.26.19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POS\Year%203%20Projects\Youth%20Intermediate%20Term%20Stabilization\DCF%20DMH%20joint%20procurement\Rate%20Development\All%20Rates%20through%20FY14\Analysis%20-%20CIRT%20FY1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YITS%20101%20CMR%20413\FY24%20Rate%20Review\3.%20Proposal%20Signoff\Website\Copy%20of%20101%20CMR%20413%20DMH%20ICS%20models%20for%207.1.23%20v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.ehs.govt.state.ma.us\common\Common\Administrative%20Services-POS%20Policy%20Office\Rate%20Setting\Rate%20Projects\YITs%20413-%20FY22%20DCF%20&amp;%20DMH\July%202021\1.%20Strategy%20materials\Continuum%20GH%20TAY%20(DMH)%206.1.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/>
      <sheetData sheetId="2"/>
      <sheetData sheetId="3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Bench Chart"/>
      <sheetName val="M2021 BLS SALARY CHART (53_PCT)"/>
      <sheetName val="M2021 BLS  SALARY CHART"/>
      <sheetName val="Sheet1"/>
      <sheetName val="CAF FALL 2022"/>
      <sheetName val="CAF Fall 2020"/>
      <sheetName val="CAF Spring 2020"/>
      <sheetName val="FY24 Add on Rates "/>
      <sheetName val="Master Data"/>
      <sheetName val="Community Treatment Residence"/>
      <sheetName val="Specialty Treatment Residence"/>
      <sheetName val="Specialty TR -CSEC"/>
      <sheetName val="Intensive Treatment Residence"/>
      <sheetName val="Emergency Residence"/>
      <sheetName val="Intensive Emergency Residence "/>
      <sheetName val="Int Tment Res Emer Intake addon"/>
      <sheetName val=" Medically Complex Residence"/>
      <sheetName val="MedCmplx &amp; Behavioral Residence"/>
      <sheetName val="Youth&amp;YA Group Residence"/>
      <sheetName val="Youth&amp;YA Supp.Living Community "/>
      <sheetName val="Young Adult Supported Living"/>
      <sheetName val="Young Parent Residence"/>
      <sheetName val="FISCAL IMPACT FY24"/>
      <sheetName val="IFC "/>
    </sheetNames>
    <sheetDataSet>
      <sheetData sheetId="0"/>
      <sheetData sheetId="1">
        <row r="28">
          <cell r="C28">
            <v>89712.895999999993</v>
          </cell>
        </row>
        <row r="34">
          <cell r="C34">
            <v>128978.304</v>
          </cell>
        </row>
        <row r="38">
          <cell r="C38">
            <v>0.25390000000000001</v>
          </cell>
        </row>
        <row r="44">
          <cell r="C44">
            <v>247150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5">
          <cell r="E35">
            <v>0.25390000000000001</v>
          </cell>
        </row>
        <row r="37">
          <cell r="C37" t="str">
            <v>Occupancy</v>
          </cell>
          <cell r="E37">
            <v>30.57</v>
          </cell>
        </row>
        <row r="38">
          <cell r="C38" t="str">
            <v>Programmatic expenses</v>
          </cell>
          <cell r="E38">
            <v>25</v>
          </cell>
        </row>
        <row r="39">
          <cell r="C39" t="str">
            <v>Additional Training Expense</v>
          </cell>
          <cell r="E39">
            <v>0</v>
          </cell>
        </row>
        <row r="40">
          <cell r="E40">
            <v>55.57</v>
          </cell>
        </row>
        <row r="42">
          <cell r="E42">
            <v>0.12</v>
          </cell>
        </row>
        <row r="44">
          <cell r="E44">
            <v>2.7811565914169036E-2</v>
          </cell>
        </row>
      </sheetData>
      <sheetData sheetId="9"/>
      <sheetData sheetId="10">
        <row r="16">
          <cell r="H16" t="str">
            <v>MASTER DATA LOOK_UP</v>
          </cell>
        </row>
        <row r="18">
          <cell r="H18" t="str">
            <v>Management</v>
          </cell>
        </row>
        <row r="19">
          <cell r="H19" t="str">
            <v>Program Manager (LICSW)</v>
          </cell>
          <cell r="K19" t="str">
            <v>BLS M2021 Benchmark 53 PCT</v>
          </cell>
        </row>
        <row r="20">
          <cell r="H20" t="str">
            <v>Assistant Program Manager</v>
          </cell>
          <cell r="K20" t="str">
            <v>BLS M2021 Benchmark 53 PCT</v>
          </cell>
        </row>
        <row r="21">
          <cell r="H21" t="str">
            <v>Management</v>
          </cell>
          <cell r="K21" t="str">
            <v>BLS M2021 Benchmark 53 PCT</v>
          </cell>
        </row>
        <row r="23">
          <cell r="H23" t="str">
            <v>Medical and Clinical</v>
          </cell>
        </row>
        <row r="24">
          <cell r="H24" t="str">
            <v xml:space="preserve">    Physician &amp;Psychiatrist</v>
          </cell>
          <cell r="K24" t="str">
            <v>BLS M2021 Benchmark 53 PCT</v>
          </cell>
        </row>
        <row r="25">
          <cell r="H25" t="str">
            <v xml:space="preserve">    Nursing (RN non-masters)</v>
          </cell>
          <cell r="K25" t="str">
            <v>BLS M2021 Benchmark 53 PCT</v>
          </cell>
        </row>
        <row r="26">
          <cell r="H26" t="str">
            <v>Nursing LPN</v>
          </cell>
          <cell r="K26" t="str">
            <v>BLS M2021 Benchmark 53 PCT</v>
          </cell>
        </row>
        <row r="27">
          <cell r="H27" t="str">
            <v xml:space="preserve">    Occupational Therapy</v>
          </cell>
          <cell r="K27" t="str">
            <v>BLS M2021 Benchmark 53 PCT</v>
          </cell>
        </row>
        <row r="29">
          <cell r="H29" t="str">
            <v>Clinician w Independent Licensure</v>
          </cell>
          <cell r="K29" t="str">
            <v>BLS M2021 Benchmark 53 PCT- req ind lic</v>
          </cell>
        </row>
        <row r="30">
          <cell r="H30" t="str">
            <v>Clinician W/O Indep. Licensure</v>
          </cell>
          <cell r="K30" t="str">
            <v>BLS M2021 Benchmark 53 PCT</v>
          </cell>
        </row>
        <row r="32">
          <cell r="H32" t="str">
            <v>Direct Care</v>
          </cell>
        </row>
        <row r="33">
          <cell r="H33" t="str">
            <v xml:space="preserve">    Clinical Care Manager (MA)</v>
          </cell>
          <cell r="K33" t="str">
            <v>Required Masters Degree not indep lic, BLS M2021 Benchmark</v>
          </cell>
        </row>
        <row r="34">
          <cell r="H34" t="str">
            <v xml:space="preserve">    CQI specialist</v>
          </cell>
          <cell r="K34" t="str">
            <v>BLS M2021 Benchmark 53 PCT- Provider recommendation</v>
          </cell>
        </row>
        <row r="35">
          <cell r="H35" t="str">
            <v>Life Coach /DCIII</v>
          </cell>
          <cell r="K35" t="str">
            <v>BLS M2021 Benchmark 53 PCT</v>
          </cell>
        </row>
        <row r="36">
          <cell r="H36" t="str">
            <v xml:space="preserve">Direct Care (DC III) Milieu Manager </v>
          </cell>
          <cell r="K36" t="str">
            <v>BLS M2021 Benchmark 53 PCT</v>
          </cell>
        </row>
        <row r="39">
          <cell r="H39" t="str">
            <v>Case Worker (Ed Liaison)</v>
          </cell>
          <cell r="K39" t="str">
            <v>BLS M2021 Benchmark 53 PCT</v>
          </cell>
        </row>
        <row r="41">
          <cell r="H41" t="str">
            <v xml:space="preserve">    Direct Care Staff</v>
          </cell>
          <cell r="K41" t="str">
            <v>BLS M2021 Benchmark 53 PCT</v>
          </cell>
        </row>
        <row r="42">
          <cell r="K42" t="str">
            <v>BLS M2021 Benchmark 53 PCT</v>
          </cell>
        </row>
        <row r="43">
          <cell r="H43" t="str">
            <v>Transportation Staff (DC)</v>
          </cell>
          <cell r="K43" t="str">
            <v>BLS M2021 Benchmark 53 PCT</v>
          </cell>
        </row>
        <row r="44">
          <cell r="H44" t="str">
            <v>Maintenance Staff (DC)</v>
          </cell>
          <cell r="K44" t="str">
            <v>BLS M2021 Benchmark 53 PCT</v>
          </cell>
        </row>
        <row r="45">
          <cell r="H45" t="str">
            <v xml:space="preserve">    Direct Care Relief</v>
          </cell>
          <cell r="K45" t="str">
            <v>BLS M2021 Benchmark 53 PCT</v>
          </cell>
        </row>
      </sheetData>
      <sheetData sheetId="11">
        <row r="16">
          <cell r="H16" t="str">
            <v>MASTER DATA LOOK_UP</v>
          </cell>
        </row>
        <row r="18">
          <cell r="H18" t="str">
            <v>Management</v>
          </cell>
        </row>
        <row r="19">
          <cell r="H19" t="str">
            <v>Program Manager (LICSW)</v>
          </cell>
        </row>
        <row r="20">
          <cell r="H20" t="str">
            <v>Assistant Program Manager</v>
          </cell>
        </row>
        <row r="23">
          <cell r="H23" t="str">
            <v>Medical and Clinical</v>
          </cell>
        </row>
        <row r="24">
          <cell r="H24" t="str">
            <v xml:space="preserve">    Physician &amp;Psychiatrist</v>
          </cell>
        </row>
        <row r="25">
          <cell r="H25" t="str">
            <v xml:space="preserve">    Nursing (RN non-masters)</v>
          </cell>
        </row>
        <row r="26">
          <cell r="H26" t="str">
            <v>Nursing LPN</v>
          </cell>
          <cell r="K26" t="str">
            <v>BLS M2021 Benchmark 53 PCT</v>
          </cell>
        </row>
        <row r="27">
          <cell r="H27" t="str">
            <v xml:space="preserve">    Occupational Therapy</v>
          </cell>
          <cell r="K27" t="str">
            <v>BLS M2021 Benchmark 53 PCT</v>
          </cell>
        </row>
        <row r="29">
          <cell r="H29" t="str">
            <v>Clinician w Independent Licensure</v>
          </cell>
          <cell r="K29" t="str">
            <v>BLS M2021 Benchmark 53 PCT- req ind lic</v>
          </cell>
        </row>
        <row r="30">
          <cell r="H30" t="str">
            <v>Clinician W/O Indep. Licensure</v>
          </cell>
        </row>
        <row r="32">
          <cell r="H32" t="str">
            <v>Direct Care</v>
          </cell>
        </row>
        <row r="33">
          <cell r="K33" t="str">
            <v>Required Masters Degree not indep lic, BLS M2021 Benchmark</v>
          </cell>
        </row>
        <row r="34">
          <cell r="H34" t="str">
            <v xml:space="preserve">    CQI specialist</v>
          </cell>
          <cell r="K34" t="str">
            <v>BLS M2021 Benchmark 53 PCT- Provider recommendation</v>
          </cell>
        </row>
        <row r="35">
          <cell r="H35" t="str">
            <v>Life Coach /DCIII</v>
          </cell>
          <cell r="K35" t="str">
            <v>BLS M2021 Benchmark 53 PCT</v>
          </cell>
        </row>
        <row r="36">
          <cell r="H36" t="str">
            <v xml:space="preserve">Direct Care (DC III) Milieu Manager </v>
          </cell>
          <cell r="K36" t="str">
            <v>BLS M2021 Benchmark 53 PCT</v>
          </cell>
        </row>
        <row r="39">
          <cell r="H39" t="str">
            <v>Case Worker (Ed Liaison)</v>
          </cell>
          <cell r="K39" t="str">
            <v>BLS M2021 Benchmark 53 PCT</v>
          </cell>
        </row>
        <row r="41">
          <cell r="H41" t="str">
            <v xml:space="preserve">    Direct Care Staff</v>
          </cell>
          <cell r="K41" t="str">
            <v>BLS M2021 Benchmark 53 PCT</v>
          </cell>
        </row>
        <row r="42">
          <cell r="H42" t="str">
            <v xml:space="preserve">  Direct Care Support</v>
          </cell>
          <cell r="K42" t="str">
            <v>BLS M2021 Benchmark 53 PCT</v>
          </cell>
        </row>
        <row r="43">
          <cell r="H43" t="str">
            <v>Transportation Staff (DC)</v>
          </cell>
          <cell r="K43" t="str">
            <v>BLS M2021 Benchmark 53 PCT</v>
          </cell>
        </row>
        <row r="44">
          <cell r="H44" t="str">
            <v>Maintenance Staff (DC)</v>
          </cell>
          <cell r="K44" t="str">
            <v>BLS M2021 Benchmark 53 PCT</v>
          </cell>
        </row>
        <row r="45">
          <cell r="H45" t="str">
            <v xml:space="preserve">    Direct Care Relief</v>
          </cell>
          <cell r="K45" t="str">
            <v>BLS M2021 Benchmark 53 PCT</v>
          </cell>
        </row>
        <row r="47">
          <cell r="H47" t="str">
            <v>Benchmark Expenses</v>
          </cell>
        </row>
        <row r="48">
          <cell r="H48" t="str">
            <v>Tax and Fringe</v>
          </cell>
          <cell r="K48" t="str">
            <v>Ch 257 Benchmark 2023</v>
          </cell>
        </row>
        <row r="50">
          <cell r="H50" t="str">
            <v>Occupancy</v>
          </cell>
          <cell r="K50" t="str">
            <v>Bench to 101 CMR 418 Youth Stab Res</v>
          </cell>
        </row>
        <row r="51">
          <cell r="H51" t="str">
            <v>Programmatic expenses</v>
          </cell>
          <cell r="K51" t="str">
            <v>Bench to 101 CMR 413 IRTP</v>
          </cell>
        </row>
        <row r="52">
          <cell r="H52" t="str">
            <v>Additional Training Expense</v>
          </cell>
          <cell r="K52" t="str">
            <v>Provider recommendation</v>
          </cell>
        </row>
        <row r="53">
          <cell r="H53" t="str">
            <v>Total Reimb excl M&amp;G</v>
          </cell>
        </row>
        <row r="55">
          <cell r="H55" t="str">
            <v>Admin. Allocation</v>
          </cell>
          <cell r="K55" t="str">
            <v xml:space="preserve"> Ch. 257 Benchmark 2023</v>
          </cell>
        </row>
        <row r="57">
          <cell r="H57" t="str">
            <v xml:space="preserve">CAF </v>
          </cell>
          <cell r="K57" t="str">
            <v>FY23 &amp; FY24 CAF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Bench Chart"/>
      <sheetName val="M2021 BLS  SALARY CHART 53_PCT"/>
      <sheetName val="CAF FALL 2022"/>
      <sheetName val="CAF Fall 2020"/>
      <sheetName val="CAF Spring 2020"/>
      <sheetName val="FY24 Add on Rates"/>
      <sheetName val="FISCALIMPACT M2020"/>
      <sheetName val="BLS CHART M2020"/>
      <sheetName val="Regulation Rates"/>
      <sheetName val="3073 Intensive Therapeutic FY24"/>
      <sheetName val="3064 Intensive Therapeutic Care"/>
      <sheetName val="3072 Therap Grp Care 6 FY24"/>
      <sheetName val="DMH wish list"/>
      <sheetName val="3072 Therapeutic Grp Care 6 Bed"/>
      <sheetName val="3072 Therap Grp Care 9  FY24"/>
      <sheetName val="3072Therapeutic Grp Care 9 Bed "/>
      <sheetName val="3072 Therap Grp Care 12 (FY24)"/>
      <sheetName val="3072Therapeutic Grp Care12 Bed "/>
      <sheetName val="IFC "/>
      <sheetName val="3064 Adult Therap Care (FY24)"/>
      <sheetName val="3073 Adult Theraputic Care"/>
    </sheetNames>
    <sheetDataSet>
      <sheetData sheetId="0"/>
      <sheetData sheetId="1">
        <row r="6">
          <cell r="D6">
            <v>39521.664000000004</v>
          </cell>
        </row>
        <row r="8">
          <cell r="D8">
            <v>50421.529600000002</v>
          </cell>
        </row>
        <row r="10">
          <cell r="D10">
            <v>37457.471999999994</v>
          </cell>
        </row>
        <row r="12">
          <cell r="D12">
            <v>50729</v>
          </cell>
        </row>
        <row r="14">
          <cell r="D14">
            <v>63585</v>
          </cell>
        </row>
        <row r="16">
          <cell r="D16">
            <v>60494.720000000001</v>
          </cell>
        </row>
        <row r="18">
          <cell r="D18">
            <v>73170.656000000003</v>
          </cell>
        </row>
        <row r="24">
          <cell r="D24">
            <v>80392.207999999999</v>
          </cell>
        </row>
        <row r="32">
          <cell r="D32">
            <v>97987.135999999999</v>
          </cell>
        </row>
        <row r="47">
          <cell r="D47">
            <v>66454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Bench Chart"/>
      <sheetName val="M2021 BLS SALARY CHART (53_PCT)"/>
      <sheetName val="M2021 BLS  SALARY CHART"/>
      <sheetName val="CAF FALL 2022"/>
      <sheetName val="3470 FY21 BTL data"/>
      <sheetName val="YouthRes  (FY24)"/>
      <sheetName val="TAYYA (FY24)"/>
      <sheetName val="%change with add. med spec"/>
      <sheetName val="Fiscal Impact FY24"/>
      <sheetName val="YouthRes  (FY24) FOIA"/>
      <sheetName val="TAYYA  (FY24) FOIA"/>
      <sheetName val="Youth Resi expenses FY21"/>
      <sheetName val="TAYYA expenses FY21"/>
      <sheetName val="YouthRes  (FY22) OMNI"/>
      <sheetName val="TAYYA Current. (FY22) OMNI"/>
      <sheetName val="BLS CHART M2020"/>
      <sheetName val="IFC "/>
    </sheetNames>
    <sheetDataSet>
      <sheetData sheetId="0" refreshError="1"/>
      <sheetData sheetId="1">
        <row r="6">
          <cell r="C6">
            <v>39521.664000000004</v>
          </cell>
        </row>
        <row r="38">
          <cell r="C38">
            <v>0.25390000000000001</v>
          </cell>
        </row>
      </sheetData>
      <sheetData sheetId="2" refreshError="1"/>
      <sheetData sheetId="3" refreshError="1"/>
      <sheetData sheetId="4" refreshError="1"/>
      <sheetData sheetId="5">
        <row r="44">
          <cell r="D44">
            <v>72974.720000000001</v>
          </cell>
          <cell r="E44" t="str">
            <v>BLS 2021 Median 53%</v>
          </cell>
        </row>
        <row r="46">
          <cell r="E46" t="str">
            <v>BLS 2021 Median 53%</v>
          </cell>
        </row>
        <row r="50">
          <cell r="E50" t="str">
            <v>BLS 2021 Median 53%</v>
          </cell>
        </row>
        <row r="52">
          <cell r="E52" t="str">
            <v>BLS 2021 Median 53%</v>
          </cell>
        </row>
        <row r="54">
          <cell r="E54" t="str">
            <v>BLS 2021 Median 53%</v>
          </cell>
        </row>
        <row r="83">
          <cell r="E83" t="str">
            <v xml:space="preserve"> Prospective FY22 &amp; FY23</v>
          </cell>
        </row>
      </sheetData>
      <sheetData sheetId="6"/>
      <sheetData sheetId="7" refreshError="1"/>
      <sheetData sheetId="8" refreshError="1"/>
      <sheetData sheetId="9"/>
      <sheetData sheetId="10" refreshError="1"/>
      <sheetData sheetId="11">
        <row r="15">
          <cell r="F15">
            <v>3.2758505936073057</v>
          </cell>
        </row>
        <row r="31">
          <cell r="B31">
            <v>43.64504490057729</v>
          </cell>
        </row>
        <row r="46">
          <cell r="B46">
            <v>11.996723287671232</v>
          </cell>
        </row>
        <row r="62">
          <cell r="B62">
            <v>31.727393242009132</v>
          </cell>
        </row>
        <row r="79">
          <cell r="B79">
            <v>1.5648803652968035</v>
          </cell>
        </row>
        <row r="95">
          <cell r="B95">
            <v>3.2729866666666663</v>
          </cell>
        </row>
        <row r="113">
          <cell r="B113">
            <v>0.36898995433789955</v>
          </cell>
        </row>
      </sheetData>
      <sheetData sheetId="12">
        <row r="17">
          <cell r="D17">
            <v>9.7893262027397263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outhRes Current "/>
      <sheetName val="TAYYA Current."/>
      <sheetName val="Spend by Activity Code and year"/>
      <sheetName val="Total FI "/>
      <sheetName val="FY17 UFR data"/>
      <sheetName val="CAF Spring 2018"/>
      <sheetName val="Room &amp; Board Add on"/>
      <sheetName val="CAF Fall 2020"/>
      <sheetName val="M2021 BLS  SALARY CHART"/>
      <sheetName val="CAF FALL 2022"/>
      <sheetName val="Fiscal Impact (xx.xx.22)"/>
      <sheetName val="YouthRes  (FY24)"/>
      <sheetName val="TAYYA Current. (FY24)"/>
      <sheetName val="Youth &amp; TAYYA - 2320"/>
      <sheetName val="Fiscal Impact"/>
      <sheetName val="FTEs by Category"/>
      <sheetName val="BTL exp 2019 UFR"/>
      <sheetName val="3470 Youth RESI Tayya Expenses"/>
      <sheetName val="TAYYA expen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D6">
            <v>38937.599999999999</v>
          </cell>
        </row>
        <row r="41">
          <cell r="D41">
            <v>0.12</v>
          </cell>
        </row>
      </sheetData>
      <sheetData sheetId="9">
        <row r="26">
          <cell r="CK26">
            <v>2.7811565914169036E-2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3">
          <cell r="F13">
            <v>16501.428571428572</v>
          </cell>
        </row>
        <row r="29">
          <cell r="B29">
            <v>2429.6666666666665</v>
          </cell>
        </row>
        <row r="44">
          <cell r="B44">
            <v>41809.4</v>
          </cell>
        </row>
        <row r="60">
          <cell r="B60">
            <v>108360.14285714286</v>
          </cell>
        </row>
        <row r="77">
          <cell r="B77">
            <v>2839</v>
          </cell>
        </row>
        <row r="93">
          <cell r="B93">
            <v>14617.857142857143</v>
          </cell>
        </row>
        <row r="111">
          <cell r="B111">
            <v>4458.75</v>
          </cell>
        </row>
      </sheetData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0 BLS  SALARY CHART"/>
      <sheetName val="M2021 BLS  SALARY CHART"/>
      <sheetName val="IRTP (draft) "/>
      <sheetName val="IRTP  (Current) (2)"/>
      <sheetName val="IRTP  (Current)"/>
      <sheetName val="CIRT (draft)"/>
      <sheetName val="Fiscal Impact post PH"/>
      <sheetName val="FI at PH"/>
      <sheetName val="CAF Fall 2022"/>
      <sheetName val="CIRT  (Current)"/>
    </sheetNames>
    <sheetDataSet>
      <sheetData sheetId="0" refreshError="1"/>
      <sheetData sheetId="1">
        <row r="38">
          <cell r="C38">
            <v>0.25390000000000001</v>
          </cell>
        </row>
        <row r="41">
          <cell r="C41">
            <v>0.12</v>
          </cell>
        </row>
      </sheetData>
      <sheetData sheetId="2">
        <row r="13">
          <cell r="T13">
            <v>72974.720000000001</v>
          </cell>
        </row>
        <row r="15">
          <cell r="H15" t="str">
            <v>Wellness Expenses</v>
          </cell>
        </row>
        <row r="16">
          <cell r="H16" t="str">
            <v>On Call expenses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>
        <row r="23">
          <cell r="CH23">
            <v>2.7811565914169036E-2</v>
          </cell>
        </row>
      </sheetData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Unit Summary after P.H"/>
      <sheetName val="CAF Spring 2015"/>
      <sheetName val="DCF Fiscal Impact"/>
      <sheetName val="DMH Fiscal Impact"/>
      <sheetName val="Rate summary - 2016 PH"/>
      <sheetName val="IRTP"/>
      <sheetName val="Master Data "/>
      <sheetName val="Chart"/>
      <sheetName val=" Fiscal Impact 11.8.17"/>
      <sheetName val="Consolidated Changes "/>
      <sheetName val=" Fiscal Impact "/>
      <sheetName val="DC Program Add-on"/>
      <sheetName val="IRTP (updtd post ph)"/>
      <sheetName val="STARR"/>
      <sheetName val="STARR (rebased)"/>
      <sheetName val="CIRT"/>
      <sheetName val="CIRT (rebased)"/>
      <sheetName val="Group Home"/>
      <sheetName val="Teen Parent"/>
      <sheetName val="Group Home (rebased)"/>
      <sheetName val="Teen Parent (rebased)"/>
      <sheetName val="TLP E-bed add-on (rebased)"/>
      <sheetName val="Continuum"/>
      <sheetName val="Continuum (rebased)"/>
      <sheetName val="FA - SO (rebased)"/>
      <sheetName val="SpecPgm-TAY(rebased)"/>
      <sheetName val="Intensive GH with exp. Nursing"/>
      <sheetName val="SpecPgm-1t1 SL (rebased)"/>
      <sheetName val="SpecPgm-1t2 GH (rebased)"/>
      <sheetName val="Inten GH w exp. Nurs (rebased)"/>
      <sheetName val="SpecPgm-Med.Com N.GH"/>
      <sheetName val="SpecPgm-Med.Com N.GH (rebased)"/>
      <sheetName val="SpecPgm-1t1 SL"/>
      <sheetName val="SpecPgm-1t2 GH"/>
      <sheetName val="SpecPgm-College Prep"/>
      <sheetName val="SpecPgm-TransIFC"/>
      <sheetName val="SpecPgm-Outrch Ind.Liv (rebased"/>
    </sheetNames>
    <sheetDataSet>
      <sheetData sheetId="0" refreshError="1"/>
      <sheetData sheetId="1">
        <row r="24">
          <cell r="BC24">
            <v>2.0354406130268236E-2</v>
          </cell>
        </row>
      </sheetData>
      <sheetData sheetId="2" refreshError="1"/>
      <sheetData sheetId="3" refreshError="1"/>
      <sheetData sheetId="4" refreshError="1"/>
      <sheetData sheetId="5">
        <row r="15">
          <cell r="X15">
            <v>200122.62</v>
          </cell>
        </row>
      </sheetData>
      <sheetData sheetId="6">
        <row r="15">
          <cell r="D15">
            <v>220355.5668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9">
          <cell r="T39">
            <v>0.22309999999999999</v>
          </cell>
        </row>
      </sheetData>
      <sheetData sheetId="15" refreshError="1"/>
      <sheetData sheetId="16">
        <row r="13">
          <cell r="R13">
            <v>65844.961200000005</v>
          </cell>
        </row>
      </sheetData>
      <sheetData sheetId="17">
        <row r="30">
          <cell r="R30">
            <v>10</v>
          </cell>
        </row>
      </sheetData>
      <sheetData sheetId="18" refreshError="1"/>
      <sheetData sheetId="19">
        <row r="13">
          <cell r="P13">
            <v>57593.3511</v>
          </cell>
        </row>
      </sheetData>
      <sheetData sheetId="20">
        <row r="16">
          <cell r="M16">
            <v>60923</v>
          </cell>
        </row>
      </sheetData>
      <sheetData sheetId="21" refreshError="1"/>
      <sheetData sheetId="22" refreshError="1"/>
      <sheetData sheetId="23" refreshError="1"/>
      <sheetData sheetId="24">
        <row r="39">
          <cell r="J39">
            <v>1075.3995600000001</v>
          </cell>
        </row>
      </sheetData>
      <sheetData sheetId="25" refreshError="1"/>
      <sheetData sheetId="26" refreshError="1"/>
      <sheetData sheetId="27" refreshError="1"/>
      <sheetData sheetId="28">
        <row r="39">
          <cell r="J39">
            <v>17.654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23">
          <cell r="A23" t="str">
            <v>PFMLA Trust Contribution</v>
          </cell>
        </row>
      </sheetData>
      <sheetData sheetId="35" refreshError="1"/>
      <sheetData sheetId="3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Options"/>
      <sheetName val="Avg Expenses"/>
      <sheetName val="Avg Salary"/>
      <sheetName val="Per Unit Expenses"/>
      <sheetName val="Per Unit FTE, Sal"/>
    </sheetNames>
    <sheetDataSet>
      <sheetData sheetId="0">
        <row r="30">
          <cell r="K30">
            <v>12</v>
          </cell>
        </row>
        <row r="32">
          <cell r="K32">
            <v>2</v>
          </cell>
        </row>
        <row r="35">
          <cell r="K35">
            <v>2.75</v>
          </cell>
        </row>
        <row r="40">
          <cell r="K40">
            <v>0.18</v>
          </cell>
        </row>
        <row r="41">
          <cell r="K41">
            <v>1</v>
          </cell>
        </row>
        <row r="45">
          <cell r="K45">
            <v>1.5</v>
          </cell>
        </row>
        <row r="46">
          <cell r="K46">
            <v>2</v>
          </cell>
        </row>
      </sheetData>
      <sheetData sheetId="1">
        <row r="12">
          <cell r="H12">
            <v>22.842465753424658</v>
          </cell>
        </row>
      </sheetData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Bench Chart"/>
      <sheetName val="M2021 BLS  SALARY CHART 53_PCT"/>
      <sheetName val="CAF FALL 2022"/>
      <sheetName val="CAF Fall 2020"/>
      <sheetName val="CAF Spring 2020"/>
      <sheetName val="FISCAL IMPACT FY24"/>
      <sheetName val="FY24 Add on Rates"/>
      <sheetName val="BLS CHART M2020"/>
      <sheetName val="Regulation Rates"/>
      <sheetName val="3073 Intensive Therapeutic FY24"/>
      <sheetName val="3064 Intensive Therapeutic Care"/>
      <sheetName val="3072 Therap Grp Care 6 FY24"/>
      <sheetName val="DMH wish list"/>
      <sheetName val="3072 Therapeutic Grp Care 6 Bed"/>
      <sheetName val="3072 Therap Grp Care 9  FY24"/>
      <sheetName val="3072Therapeutic Grp Care 9 Bed "/>
      <sheetName val="3072 Therap Grp Care 12 (FY24)"/>
      <sheetName val="3072Therapeutic Grp Care12 Bed "/>
      <sheetName val="IFC "/>
      <sheetName val="3064 Adult Therap Care (FY24)"/>
      <sheetName val="3073 Adult Theraputic Care"/>
    </sheetNames>
    <sheetDataSet>
      <sheetData sheetId="0"/>
      <sheetData sheetId="1">
        <row r="16">
          <cell r="D16">
            <v>60494.720000000001</v>
          </cell>
        </row>
        <row r="34">
          <cell r="D34">
            <v>128978.304</v>
          </cell>
        </row>
        <row r="44">
          <cell r="D44">
            <v>247150</v>
          </cell>
        </row>
      </sheetData>
      <sheetData sheetId="2">
        <row r="24">
          <cell r="CI24">
            <v>2.7811565914169036E-2</v>
          </cell>
        </row>
      </sheetData>
      <sheetData sheetId="3"/>
      <sheetData sheetId="4"/>
      <sheetData sheetId="5"/>
      <sheetData sheetId="6">
        <row r="23">
          <cell r="E23">
            <v>58.857122137722364</v>
          </cell>
        </row>
      </sheetData>
      <sheetData sheetId="7"/>
      <sheetData sheetId="8"/>
      <sheetData sheetId="9">
        <row r="18">
          <cell r="P18">
            <v>54.786626019606146</v>
          </cell>
        </row>
      </sheetData>
      <sheetData sheetId="10">
        <row r="12">
          <cell r="R12">
            <v>63585</v>
          </cell>
        </row>
        <row r="36">
          <cell r="R36">
            <v>0.25390000000000001</v>
          </cell>
          <cell r="S36" t="str">
            <v>C.257 Benchmark</v>
          </cell>
          <cell r="T36"/>
        </row>
        <row r="45">
          <cell r="S45" t="str">
            <v>C.257 Benchmark</v>
          </cell>
        </row>
        <row r="46">
          <cell r="R46">
            <v>2.7811565914169036E-2</v>
          </cell>
          <cell r="S46" t="str">
            <v>FY23 &amp; FY24</v>
          </cell>
        </row>
      </sheetData>
      <sheetData sheetId="11">
        <row r="22">
          <cell r="J22">
            <v>54.786626019606146</v>
          </cell>
        </row>
      </sheetData>
      <sheetData sheetId="12"/>
      <sheetData sheetId="13">
        <row r="14">
          <cell r="K14">
            <v>72974.720000000001</v>
          </cell>
        </row>
        <row r="39">
          <cell r="K39">
            <v>0.25390000000000001</v>
          </cell>
          <cell r="L39" t="str">
            <v>C.257 Benchmark</v>
          </cell>
        </row>
        <row r="43">
          <cell r="L43" t="str">
            <v>C.257 Benchmark</v>
          </cell>
        </row>
        <row r="44">
          <cell r="K44">
            <v>180.83</v>
          </cell>
        </row>
        <row r="45">
          <cell r="K45">
            <v>2.7811565914169036E-2</v>
          </cell>
          <cell r="L45" t="str">
            <v>FY23 &amp; FY24</v>
          </cell>
        </row>
      </sheetData>
      <sheetData sheetId="14"/>
      <sheetData sheetId="15">
        <row r="14">
          <cell r="K14">
            <v>72974.720000000001</v>
          </cell>
        </row>
        <row r="26">
          <cell r="F26">
            <v>180.83</v>
          </cell>
        </row>
        <row r="43">
          <cell r="K43">
            <v>0.25390000000000001</v>
          </cell>
        </row>
        <row r="47">
          <cell r="L47" t="str">
            <v>C.257 Benchmark</v>
          </cell>
        </row>
        <row r="48">
          <cell r="K48">
            <v>180.83</v>
          </cell>
        </row>
        <row r="49">
          <cell r="K49">
            <v>2.7811565914169036E-2</v>
          </cell>
          <cell r="L49" t="str">
            <v>FY23 &amp; FY24</v>
          </cell>
        </row>
      </sheetData>
      <sheetData sheetId="16"/>
      <sheetData sheetId="17">
        <row r="45">
          <cell r="K45">
            <v>0.25390000000000001</v>
          </cell>
        </row>
        <row r="51">
          <cell r="K51">
            <v>2.7811565914169036E-2</v>
          </cell>
        </row>
      </sheetData>
      <sheetData sheetId="18"/>
      <sheetData sheetId="19"/>
      <sheetData sheetId="2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1 Add on Rates  (2)"/>
      <sheetName val="Fiscal Impact (2)"/>
      <sheetName val="Carly"/>
      <sheetName val="GH 6 Beds (2)"/>
      <sheetName val="GH 9 Beds  (2)"/>
      <sheetName val="Continuum"/>
      <sheetName val="GH 6 Beds"/>
      <sheetName val="GH 9 Beds "/>
      <sheetName val="GH 12 Beds "/>
      <sheetName val="IFC "/>
      <sheetName val="TAY(Staffed Apt Supp&amp; Outreach)"/>
      <sheetName val="FY21 Add on Rates "/>
      <sheetName val="TAY (Staffed Apartments)"/>
      <sheetName val="TAY (blended)"/>
      <sheetName val="Prescott"/>
      <sheetName val="Outreach"/>
      <sheetName val="Fiscal Impact"/>
      <sheetName val="CPIMA Spring 2020"/>
      <sheetName val="Laurie"/>
      <sheetName val="Julia"/>
      <sheetName val="Charlene"/>
      <sheetName val="Sean"/>
    </sheetNames>
    <sheetDataSet>
      <sheetData sheetId="0">
        <row r="27">
          <cell r="K27">
            <v>83.562040405584511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E14">
            <v>54.96436652731127</v>
          </cell>
        </row>
      </sheetData>
      <sheetData sheetId="12">
        <row r="29">
          <cell r="I29" t="str">
            <v>Psychiatric Consultation Services</v>
          </cell>
        </row>
      </sheetData>
      <sheetData sheetId="13"/>
      <sheetData sheetId="14"/>
      <sheetData sheetId="15"/>
      <sheetData sheetId="16"/>
      <sheetData sheetId="17">
        <row r="23">
          <cell r="BZ23">
            <v>3.8258089038662774E-3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0CAA-03AD-48AD-99BD-757592586C0E}">
  <sheetPr>
    <pageSetUpPr fitToPage="1"/>
  </sheetPr>
  <dimension ref="B1:F50"/>
  <sheetViews>
    <sheetView showGridLines="0" tabSelected="1" topLeftCell="A31" zoomScale="60" zoomScaleNormal="60" workbookViewId="0">
      <selection activeCell="B34" sqref="B34"/>
    </sheetView>
  </sheetViews>
  <sheetFormatPr defaultRowHeight="26.25" x14ac:dyDescent="0.4"/>
  <cols>
    <col min="1" max="1" width="5.5703125" style="849" customWidth="1"/>
    <col min="2" max="2" width="58" style="849" customWidth="1"/>
    <col min="3" max="3" width="24.140625" style="849" customWidth="1"/>
    <col min="4" max="4" width="90.140625" style="849" customWidth="1"/>
    <col min="5" max="5" width="69.140625" style="851" customWidth="1"/>
    <col min="6" max="6" width="44" style="851" customWidth="1"/>
    <col min="7" max="243" width="9.140625" style="849"/>
    <col min="244" max="244" width="5.5703125" style="849" customWidth="1"/>
    <col min="245" max="245" width="58" style="849" customWidth="1"/>
    <col min="246" max="246" width="24.140625" style="849" customWidth="1"/>
    <col min="247" max="248" width="0" style="849" hidden="1" customWidth="1"/>
    <col min="249" max="249" width="61.42578125" style="849" customWidth="1"/>
    <col min="250" max="250" width="62.140625" style="849" customWidth="1"/>
    <col min="251" max="254" width="0" style="849" hidden="1" customWidth="1"/>
    <col min="255" max="499" width="9.140625" style="849"/>
    <col min="500" max="500" width="5.5703125" style="849" customWidth="1"/>
    <col min="501" max="501" width="58" style="849" customWidth="1"/>
    <col min="502" max="502" width="24.140625" style="849" customWidth="1"/>
    <col min="503" max="504" width="0" style="849" hidden="1" customWidth="1"/>
    <col min="505" max="505" width="61.42578125" style="849" customWidth="1"/>
    <col min="506" max="506" width="62.140625" style="849" customWidth="1"/>
    <col min="507" max="510" width="0" style="849" hidden="1" customWidth="1"/>
    <col min="511" max="755" width="9.140625" style="849"/>
    <col min="756" max="756" width="5.5703125" style="849" customWidth="1"/>
    <col min="757" max="757" width="58" style="849" customWidth="1"/>
    <col min="758" max="758" width="24.140625" style="849" customWidth="1"/>
    <col min="759" max="760" width="0" style="849" hidden="1" customWidth="1"/>
    <col min="761" max="761" width="61.42578125" style="849" customWidth="1"/>
    <col min="762" max="762" width="62.140625" style="849" customWidth="1"/>
    <col min="763" max="766" width="0" style="849" hidden="1" customWidth="1"/>
    <col min="767" max="1011" width="9.140625" style="849"/>
    <col min="1012" max="1012" width="5.5703125" style="849" customWidth="1"/>
    <col min="1013" max="1013" width="58" style="849" customWidth="1"/>
    <col min="1014" max="1014" width="24.140625" style="849" customWidth="1"/>
    <col min="1015" max="1016" width="0" style="849" hidden="1" customWidth="1"/>
    <col min="1017" max="1017" width="61.42578125" style="849" customWidth="1"/>
    <col min="1018" max="1018" width="62.140625" style="849" customWidth="1"/>
    <col min="1019" max="1022" width="0" style="849" hidden="1" customWidth="1"/>
    <col min="1023" max="1267" width="9.140625" style="849"/>
    <col min="1268" max="1268" width="5.5703125" style="849" customWidth="1"/>
    <col min="1269" max="1269" width="58" style="849" customWidth="1"/>
    <col min="1270" max="1270" width="24.140625" style="849" customWidth="1"/>
    <col min="1271" max="1272" width="0" style="849" hidden="1" customWidth="1"/>
    <col min="1273" max="1273" width="61.42578125" style="849" customWidth="1"/>
    <col min="1274" max="1274" width="62.140625" style="849" customWidth="1"/>
    <col min="1275" max="1278" width="0" style="849" hidden="1" customWidth="1"/>
    <col min="1279" max="1523" width="9.140625" style="849"/>
    <col min="1524" max="1524" width="5.5703125" style="849" customWidth="1"/>
    <col min="1525" max="1525" width="58" style="849" customWidth="1"/>
    <col min="1526" max="1526" width="24.140625" style="849" customWidth="1"/>
    <col min="1527" max="1528" width="0" style="849" hidden="1" customWidth="1"/>
    <col min="1529" max="1529" width="61.42578125" style="849" customWidth="1"/>
    <col min="1530" max="1530" width="62.140625" style="849" customWidth="1"/>
    <col min="1531" max="1534" width="0" style="849" hidden="1" customWidth="1"/>
    <col min="1535" max="1779" width="9.140625" style="849"/>
    <col min="1780" max="1780" width="5.5703125" style="849" customWidth="1"/>
    <col min="1781" max="1781" width="58" style="849" customWidth="1"/>
    <col min="1782" max="1782" width="24.140625" style="849" customWidth="1"/>
    <col min="1783" max="1784" width="0" style="849" hidden="1" customWidth="1"/>
    <col min="1785" max="1785" width="61.42578125" style="849" customWidth="1"/>
    <col min="1786" max="1786" width="62.140625" style="849" customWidth="1"/>
    <col min="1787" max="1790" width="0" style="849" hidden="1" customWidth="1"/>
    <col min="1791" max="2035" width="9.140625" style="849"/>
    <col min="2036" max="2036" width="5.5703125" style="849" customWidth="1"/>
    <col min="2037" max="2037" width="58" style="849" customWidth="1"/>
    <col min="2038" max="2038" width="24.140625" style="849" customWidth="1"/>
    <col min="2039" max="2040" width="0" style="849" hidden="1" customWidth="1"/>
    <col min="2041" max="2041" width="61.42578125" style="849" customWidth="1"/>
    <col min="2042" max="2042" width="62.140625" style="849" customWidth="1"/>
    <col min="2043" max="2046" width="0" style="849" hidden="1" customWidth="1"/>
    <col min="2047" max="2291" width="9.140625" style="849"/>
    <col min="2292" max="2292" width="5.5703125" style="849" customWidth="1"/>
    <col min="2293" max="2293" width="58" style="849" customWidth="1"/>
    <col min="2294" max="2294" width="24.140625" style="849" customWidth="1"/>
    <col min="2295" max="2296" width="0" style="849" hidden="1" customWidth="1"/>
    <col min="2297" max="2297" width="61.42578125" style="849" customWidth="1"/>
    <col min="2298" max="2298" width="62.140625" style="849" customWidth="1"/>
    <col min="2299" max="2302" width="0" style="849" hidden="1" customWidth="1"/>
    <col min="2303" max="2547" width="9.140625" style="849"/>
    <col min="2548" max="2548" width="5.5703125" style="849" customWidth="1"/>
    <col min="2549" max="2549" width="58" style="849" customWidth="1"/>
    <col min="2550" max="2550" width="24.140625" style="849" customWidth="1"/>
    <col min="2551" max="2552" width="0" style="849" hidden="1" customWidth="1"/>
    <col min="2553" max="2553" width="61.42578125" style="849" customWidth="1"/>
    <col min="2554" max="2554" width="62.140625" style="849" customWidth="1"/>
    <col min="2555" max="2558" width="0" style="849" hidden="1" customWidth="1"/>
    <col min="2559" max="2803" width="9.140625" style="849"/>
    <col min="2804" max="2804" width="5.5703125" style="849" customWidth="1"/>
    <col min="2805" max="2805" width="58" style="849" customWidth="1"/>
    <col min="2806" max="2806" width="24.140625" style="849" customWidth="1"/>
    <col min="2807" max="2808" width="0" style="849" hidden="1" customWidth="1"/>
    <col min="2809" max="2809" width="61.42578125" style="849" customWidth="1"/>
    <col min="2810" max="2810" width="62.140625" style="849" customWidth="1"/>
    <col min="2811" max="2814" width="0" style="849" hidden="1" customWidth="1"/>
    <col min="2815" max="3059" width="9.140625" style="849"/>
    <col min="3060" max="3060" width="5.5703125" style="849" customWidth="1"/>
    <col min="3061" max="3061" width="58" style="849" customWidth="1"/>
    <col min="3062" max="3062" width="24.140625" style="849" customWidth="1"/>
    <col min="3063" max="3064" width="0" style="849" hidden="1" customWidth="1"/>
    <col min="3065" max="3065" width="61.42578125" style="849" customWidth="1"/>
    <col min="3066" max="3066" width="62.140625" style="849" customWidth="1"/>
    <col min="3067" max="3070" width="0" style="849" hidden="1" customWidth="1"/>
    <col min="3071" max="3315" width="9.140625" style="849"/>
    <col min="3316" max="3316" width="5.5703125" style="849" customWidth="1"/>
    <col min="3317" max="3317" width="58" style="849" customWidth="1"/>
    <col min="3318" max="3318" width="24.140625" style="849" customWidth="1"/>
    <col min="3319" max="3320" width="0" style="849" hidden="1" customWidth="1"/>
    <col min="3321" max="3321" width="61.42578125" style="849" customWidth="1"/>
    <col min="3322" max="3322" width="62.140625" style="849" customWidth="1"/>
    <col min="3323" max="3326" width="0" style="849" hidden="1" customWidth="1"/>
    <col min="3327" max="3571" width="9.140625" style="849"/>
    <col min="3572" max="3572" width="5.5703125" style="849" customWidth="1"/>
    <col min="3573" max="3573" width="58" style="849" customWidth="1"/>
    <col min="3574" max="3574" width="24.140625" style="849" customWidth="1"/>
    <col min="3575" max="3576" width="0" style="849" hidden="1" customWidth="1"/>
    <col min="3577" max="3577" width="61.42578125" style="849" customWidth="1"/>
    <col min="3578" max="3578" width="62.140625" style="849" customWidth="1"/>
    <col min="3579" max="3582" width="0" style="849" hidden="1" customWidth="1"/>
    <col min="3583" max="3827" width="9.140625" style="849"/>
    <col min="3828" max="3828" width="5.5703125" style="849" customWidth="1"/>
    <col min="3829" max="3829" width="58" style="849" customWidth="1"/>
    <col min="3830" max="3830" width="24.140625" style="849" customWidth="1"/>
    <col min="3831" max="3832" width="0" style="849" hidden="1" customWidth="1"/>
    <col min="3833" max="3833" width="61.42578125" style="849" customWidth="1"/>
    <col min="3834" max="3834" width="62.140625" style="849" customWidth="1"/>
    <col min="3835" max="3838" width="0" style="849" hidden="1" customWidth="1"/>
    <col min="3839" max="4083" width="9.140625" style="849"/>
    <col min="4084" max="4084" width="5.5703125" style="849" customWidth="1"/>
    <col min="4085" max="4085" width="58" style="849" customWidth="1"/>
    <col min="4086" max="4086" width="24.140625" style="849" customWidth="1"/>
    <col min="4087" max="4088" width="0" style="849" hidden="1" customWidth="1"/>
    <col min="4089" max="4089" width="61.42578125" style="849" customWidth="1"/>
    <col min="4090" max="4090" width="62.140625" style="849" customWidth="1"/>
    <col min="4091" max="4094" width="0" style="849" hidden="1" customWidth="1"/>
    <col min="4095" max="4339" width="9.140625" style="849"/>
    <col min="4340" max="4340" width="5.5703125" style="849" customWidth="1"/>
    <col min="4341" max="4341" width="58" style="849" customWidth="1"/>
    <col min="4342" max="4342" width="24.140625" style="849" customWidth="1"/>
    <col min="4343" max="4344" width="0" style="849" hidden="1" customWidth="1"/>
    <col min="4345" max="4345" width="61.42578125" style="849" customWidth="1"/>
    <col min="4346" max="4346" width="62.140625" style="849" customWidth="1"/>
    <col min="4347" max="4350" width="0" style="849" hidden="1" customWidth="1"/>
    <col min="4351" max="4595" width="9.140625" style="849"/>
    <col min="4596" max="4596" width="5.5703125" style="849" customWidth="1"/>
    <col min="4597" max="4597" width="58" style="849" customWidth="1"/>
    <col min="4598" max="4598" width="24.140625" style="849" customWidth="1"/>
    <col min="4599" max="4600" width="0" style="849" hidden="1" customWidth="1"/>
    <col min="4601" max="4601" width="61.42578125" style="849" customWidth="1"/>
    <col min="4602" max="4602" width="62.140625" style="849" customWidth="1"/>
    <col min="4603" max="4606" width="0" style="849" hidden="1" customWidth="1"/>
    <col min="4607" max="4851" width="9.140625" style="849"/>
    <col min="4852" max="4852" width="5.5703125" style="849" customWidth="1"/>
    <col min="4853" max="4853" width="58" style="849" customWidth="1"/>
    <col min="4854" max="4854" width="24.140625" style="849" customWidth="1"/>
    <col min="4855" max="4856" width="0" style="849" hidden="1" customWidth="1"/>
    <col min="4857" max="4857" width="61.42578125" style="849" customWidth="1"/>
    <col min="4858" max="4858" width="62.140625" style="849" customWidth="1"/>
    <col min="4859" max="4862" width="0" style="849" hidden="1" customWidth="1"/>
    <col min="4863" max="5107" width="9.140625" style="849"/>
    <col min="5108" max="5108" width="5.5703125" style="849" customWidth="1"/>
    <col min="5109" max="5109" width="58" style="849" customWidth="1"/>
    <col min="5110" max="5110" width="24.140625" style="849" customWidth="1"/>
    <col min="5111" max="5112" width="0" style="849" hidden="1" customWidth="1"/>
    <col min="5113" max="5113" width="61.42578125" style="849" customWidth="1"/>
    <col min="5114" max="5114" width="62.140625" style="849" customWidth="1"/>
    <col min="5115" max="5118" width="0" style="849" hidden="1" customWidth="1"/>
    <col min="5119" max="5363" width="9.140625" style="849"/>
    <col min="5364" max="5364" width="5.5703125" style="849" customWidth="1"/>
    <col min="5365" max="5365" width="58" style="849" customWidth="1"/>
    <col min="5366" max="5366" width="24.140625" style="849" customWidth="1"/>
    <col min="5367" max="5368" width="0" style="849" hidden="1" customWidth="1"/>
    <col min="5369" max="5369" width="61.42578125" style="849" customWidth="1"/>
    <col min="5370" max="5370" width="62.140625" style="849" customWidth="1"/>
    <col min="5371" max="5374" width="0" style="849" hidden="1" customWidth="1"/>
    <col min="5375" max="5619" width="9.140625" style="849"/>
    <col min="5620" max="5620" width="5.5703125" style="849" customWidth="1"/>
    <col min="5621" max="5621" width="58" style="849" customWidth="1"/>
    <col min="5622" max="5622" width="24.140625" style="849" customWidth="1"/>
    <col min="5623" max="5624" width="0" style="849" hidden="1" customWidth="1"/>
    <col min="5625" max="5625" width="61.42578125" style="849" customWidth="1"/>
    <col min="5626" max="5626" width="62.140625" style="849" customWidth="1"/>
    <col min="5627" max="5630" width="0" style="849" hidden="1" customWidth="1"/>
    <col min="5631" max="5875" width="9.140625" style="849"/>
    <col min="5876" max="5876" width="5.5703125" style="849" customWidth="1"/>
    <col min="5877" max="5877" width="58" style="849" customWidth="1"/>
    <col min="5878" max="5878" width="24.140625" style="849" customWidth="1"/>
    <col min="5879" max="5880" width="0" style="849" hidden="1" customWidth="1"/>
    <col min="5881" max="5881" width="61.42578125" style="849" customWidth="1"/>
    <col min="5882" max="5882" width="62.140625" style="849" customWidth="1"/>
    <col min="5883" max="5886" width="0" style="849" hidden="1" customWidth="1"/>
    <col min="5887" max="6131" width="9.140625" style="849"/>
    <col min="6132" max="6132" width="5.5703125" style="849" customWidth="1"/>
    <col min="6133" max="6133" width="58" style="849" customWidth="1"/>
    <col min="6134" max="6134" width="24.140625" style="849" customWidth="1"/>
    <col min="6135" max="6136" width="0" style="849" hidden="1" customWidth="1"/>
    <col min="6137" max="6137" width="61.42578125" style="849" customWidth="1"/>
    <col min="6138" max="6138" width="62.140625" style="849" customWidth="1"/>
    <col min="6139" max="6142" width="0" style="849" hidden="1" customWidth="1"/>
    <col min="6143" max="6387" width="9.140625" style="849"/>
    <col min="6388" max="6388" width="5.5703125" style="849" customWidth="1"/>
    <col min="6389" max="6389" width="58" style="849" customWidth="1"/>
    <col min="6390" max="6390" width="24.140625" style="849" customWidth="1"/>
    <col min="6391" max="6392" width="0" style="849" hidden="1" customWidth="1"/>
    <col min="6393" max="6393" width="61.42578125" style="849" customWidth="1"/>
    <col min="6394" max="6394" width="62.140625" style="849" customWidth="1"/>
    <col min="6395" max="6398" width="0" style="849" hidden="1" customWidth="1"/>
    <col min="6399" max="6643" width="9.140625" style="849"/>
    <col min="6644" max="6644" width="5.5703125" style="849" customWidth="1"/>
    <col min="6645" max="6645" width="58" style="849" customWidth="1"/>
    <col min="6646" max="6646" width="24.140625" style="849" customWidth="1"/>
    <col min="6647" max="6648" width="0" style="849" hidden="1" customWidth="1"/>
    <col min="6649" max="6649" width="61.42578125" style="849" customWidth="1"/>
    <col min="6650" max="6650" width="62.140625" style="849" customWidth="1"/>
    <col min="6651" max="6654" width="0" style="849" hidden="1" customWidth="1"/>
    <col min="6655" max="6899" width="9.140625" style="849"/>
    <col min="6900" max="6900" width="5.5703125" style="849" customWidth="1"/>
    <col min="6901" max="6901" width="58" style="849" customWidth="1"/>
    <col min="6902" max="6902" width="24.140625" style="849" customWidth="1"/>
    <col min="6903" max="6904" width="0" style="849" hidden="1" customWidth="1"/>
    <col min="6905" max="6905" width="61.42578125" style="849" customWidth="1"/>
    <col min="6906" max="6906" width="62.140625" style="849" customWidth="1"/>
    <col min="6907" max="6910" width="0" style="849" hidden="1" customWidth="1"/>
    <col min="6911" max="7155" width="9.140625" style="849"/>
    <col min="7156" max="7156" width="5.5703125" style="849" customWidth="1"/>
    <col min="7157" max="7157" width="58" style="849" customWidth="1"/>
    <col min="7158" max="7158" width="24.140625" style="849" customWidth="1"/>
    <col min="7159" max="7160" width="0" style="849" hidden="1" customWidth="1"/>
    <col min="7161" max="7161" width="61.42578125" style="849" customWidth="1"/>
    <col min="7162" max="7162" width="62.140625" style="849" customWidth="1"/>
    <col min="7163" max="7166" width="0" style="849" hidden="1" customWidth="1"/>
    <col min="7167" max="7411" width="9.140625" style="849"/>
    <col min="7412" max="7412" width="5.5703125" style="849" customWidth="1"/>
    <col min="7413" max="7413" width="58" style="849" customWidth="1"/>
    <col min="7414" max="7414" width="24.140625" style="849" customWidth="1"/>
    <col min="7415" max="7416" width="0" style="849" hidden="1" customWidth="1"/>
    <col min="7417" max="7417" width="61.42578125" style="849" customWidth="1"/>
    <col min="7418" max="7418" width="62.140625" style="849" customWidth="1"/>
    <col min="7419" max="7422" width="0" style="849" hidden="1" customWidth="1"/>
    <col min="7423" max="7667" width="9.140625" style="849"/>
    <col min="7668" max="7668" width="5.5703125" style="849" customWidth="1"/>
    <col min="7669" max="7669" width="58" style="849" customWidth="1"/>
    <col min="7670" max="7670" width="24.140625" style="849" customWidth="1"/>
    <col min="7671" max="7672" width="0" style="849" hidden="1" customWidth="1"/>
    <col min="7673" max="7673" width="61.42578125" style="849" customWidth="1"/>
    <col min="7674" max="7674" width="62.140625" style="849" customWidth="1"/>
    <col min="7675" max="7678" width="0" style="849" hidden="1" customWidth="1"/>
    <col min="7679" max="7923" width="9.140625" style="849"/>
    <col min="7924" max="7924" width="5.5703125" style="849" customWidth="1"/>
    <col min="7925" max="7925" width="58" style="849" customWidth="1"/>
    <col min="7926" max="7926" width="24.140625" style="849" customWidth="1"/>
    <col min="7927" max="7928" width="0" style="849" hidden="1" customWidth="1"/>
    <col min="7929" max="7929" width="61.42578125" style="849" customWidth="1"/>
    <col min="7930" max="7930" width="62.140625" style="849" customWidth="1"/>
    <col min="7931" max="7934" width="0" style="849" hidden="1" customWidth="1"/>
    <col min="7935" max="8179" width="9.140625" style="849"/>
    <col min="8180" max="8180" width="5.5703125" style="849" customWidth="1"/>
    <col min="8181" max="8181" width="58" style="849" customWidth="1"/>
    <col min="8182" max="8182" width="24.140625" style="849" customWidth="1"/>
    <col min="8183" max="8184" width="0" style="849" hidden="1" customWidth="1"/>
    <col min="8185" max="8185" width="61.42578125" style="849" customWidth="1"/>
    <col min="8186" max="8186" width="62.140625" style="849" customWidth="1"/>
    <col min="8187" max="8190" width="0" style="849" hidden="1" customWidth="1"/>
    <col min="8191" max="8435" width="9.140625" style="849"/>
    <col min="8436" max="8436" width="5.5703125" style="849" customWidth="1"/>
    <col min="8437" max="8437" width="58" style="849" customWidth="1"/>
    <col min="8438" max="8438" width="24.140625" style="849" customWidth="1"/>
    <col min="8439" max="8440" width="0" style="849" hidden="1" customWidth="1"/>
    <col min="8441" max="8441" width="61.42578125" style="849" customWidth="1"/>
    <col min="8442" max="8442" width="62.140625" style="849" customWidth="1"/>
    <col min="8443" max="8446" width="0" style="849" hidden="1" customWidth="1"/>
    <col min="8447" max="8691" width="9.140625" style="849"/>
    <col min="8692" max="8692" width="5.5703125" style="849" customWidth="1"/>
    <col min="8693" max="8693" width="58" style="849" customWidth="1"/>
    <col min="8694" max="8694" width="24.140625" style="849" customWidth="1"/>
    <col min="8695" max="8696" width="0" style="849" hidden="1" customWidth="1"/>
    <col min="8697" max="8697" width="61.42578125" style="849" customWidth="1"/>
    <col min="8698" max="8698" width="62.140625" style="849" customWidth="1"/>
    <col min="8699" max="8702" width="0" style="849" hidden="1" customWidth="1"/>
    <col min="8703" max="8947" width="9.140625" style="849"/>
    <col min="8948" max="8948" width="5.5703125" style="849" customWidth="1"/>
    <col min="8949" max="8949" width="58" style="849" customWidth="1"/>
    <col min="8950" max="8950" width="24.140625" style="849" customWidth="1"/>
    <col min="8951" max="8952" width="0" style="849" hidden="1" customWidth="1"/>
    <col min="8953" max="8953" width="61.42578125" style="849" customWidth="1"/>
    <col min="8954" max="8954" width="62.140625" style="849" customWidth="1"/>
    <col min="8955" max="8958" width="0" style="849" hidden="1" customWidth="1"/>
    <col min="8959" max="9203" width="9.140625" style="849"/>
    <col min="9204" max="9204" width="5.5703125" style="849" customWidth="1"/>
    <col min="9205" max="9205" width="58" style="849" customWidth="1"/>
    <col min="9206" max="9206" width="24.140625" style="849" customWidth="1"/>
    <col min="9207" max="9208" width="0" style="849" hidden="1" customWidth="1"/>
    <col min="9209" max="9209" width="61.42578125" style="849" customWidth="1"/>
    <col min="9210" max="9210" width="62.140625" style="849" customWidth="1"/>
    <col min="9211" max="9214" width="0" style="849" hidden="1" customWidth="1"/>
    <col min="9215" max="9459" width="9.140625" style="849"/>
    <col min="9460" max="9460" width="5.5703125" style="849" customWidth="1"/>
    <col min="9461" max="9461" width="58" style="849" customWidth="1"/>
    <col min="9462" max="9462" width="24.140625" style="849" customWidth="1"/>
    <col min="9463" max="9464" width="0" style="849" hidden="1" customWidth="1"/>
    <col min="9465" max="9465" width="61.42578125" style="849" customWidth="1"/>
    <col min="9466" max="9466" width="62.140625" style="849" customWidth="1"/>
    <col min="9467" max="9470" width="0" style="849" hidden="1" customWidth="1"/>
    <col min="9471" max="9715" width="9.140625" style="849"/>
    <col min="9716" max="9716" width="5.5703125" style="849" customWidth="1"/>
    <col min="9717" max="9717" width="58" style="849" customWidth="1"/>
    <col min="9718" max="9718" width="24.140625" style="849" customWidth="1"/>
    <col min="9719" max="9720" width="0" style="849" hidden="1" customWidth="1"/>
    <col min="9721" max="9721" width="61.42578125" style="849" customWidth="1"/>
    <col min="9722" max="9722" width="62.140625" style="849" customWidth="1"/>
    <col min="9723" max="9726" width="0" style="849" hidden="1" customWidth="1"/>
    <col min="9727" max="9971" width="9.140625" style="849"/>
    <col min="9972" max="9972" width="5.5703125" style="849" customWidth="1"/>
    <col min="9973" max="9973" width="58" style="849" customWidth="1"/>
    <col min="9974" max="9974" width="24.140625" style="849" customWidth="1"/>
    <col min="9975" max="9976" width="0" style="849" hidden="1" customWidth="1"/>
    <col min="9977" max="9977" width="61.42578125" style="849" customWidth="1"/>
    <col min="9978" max="9978" width="62.140625" style="849" customWidth="1"/>
    <col min="9979" max="9982" width="0" style="849" hidden="1" customWidth="1"/>
    <col min="9983" max="10227" width="9.140625" style="849"/>
    <col min="10228" max="10228" width="5.5703125" style="849" customWidth="1"/>
    <col min="10229" max="10229" width="58" style="849" customWidth="1"/>
    <col min="10230" max="10230" width="24.140625" style="849" customWidth="1"/>
    <col min="10231" max="10232" width="0" style="849" hidden="1" customWidth="1"/>
    <col min="10233" max="10233" width="61.42578125" style="849" customWidth="1"/>
    <col min="10234" max="10234" width="62.140625" style="849" customWidth="1"/>
    <col min="10235" max="10238" width="0" style="849" hidden="1" customWidth="1"/>
    <col min="10239" max="10483" width="9.140625" style="849"/>
    <col min="10484" max="10484" width="5.5703125" style="849" customWidth="1"/>
    <col min="10485" max="10485" width="58" style="849" customWidth="1"/>
    <col min="10486" max="10486" width="24.140625" style="849" customWidth="1"/>
    <col min="10487" max="10488" width="0" style="849" hidden="1" customWidth="1"/>
    <col min="10489" max="10489" width="61.42578125" style="849" customWidth="1"/>
    <col min="10490" max="10490" width="62.140625" style="849" customWidth="1"/>
    <col min="10491" max="10494" width="0" style="849" hidden="1" customWidth="1"/>
    <col min="10495" max="10739" width="9.140625" style="849"/>
    <col min="10740" max="10740" width="5.5703125" style="849" customWidth="1"/>
    <col min="10741" max="10741" width="58" style="849" customWidth="1"/>
    <col min="10742" max="10742" width="24.140625" style="849" customWidth="1"/>
    <col min="10743" max="10744" width="0" style="849" hidden="1" customWidth="1"/>
    <col min="10745" max="10745" width="61.42578125" style="849" customWidth="1"/>
    <col min="10746" max="10746" width="62.140625" style="849" customWidth="1"/>
    <col min="10747" max="10750" width="0" style="849" hidden="1" customWidth="1"/>
    <col min="10751" max="10995" width="9.140625" style="849"/>
    <col min="10996" max="10996" width="5.5703125" style="849" customWidth="1"/>
    <col min="10997" max="10997" width="58" style="849" customWidth="1"/>
    <col min="10998" max="10998" width="24.140625" style="849" customWidth="1"/>
    <col min="10999" max="11000" width="0" style="849" hidden="1" customWidth="1"/>
    <col min="11001" max="11001" width="61.42578125" style="849" customWidth="1"/>
    <col min="11002" max="11002" width="62.140625" style="849" customWidth="1"/>
    <col min="11003" max="11006" width="0" style="849" hidden="1" customWidth="1"/>
    <col min="11007" max="11251" width="9.140625" style="849"/>
    <col min="11252" max="11252" width="5.5703125" style="849" customWidth="1"/>
    <col min="11253" max="11253" width="58" style="849" customWidth="1"/>
    <col min="11254" max="11254" width="24.140625" style="849" customWidth="1"/>
    <col min="11255" max="11256" width="0" style="849" hidden="1" customWidth="1"/>
    <col min="11257" max="11257" width="61.42578125" style="849" customWidth="1"/>
    <col min="11258" max="11258" width="62.140625" style="849" customWidth="1"/>
    <col min="11259" max="11262" width="0" style="849" hidden="1" customWidth="1"/>
    <col min="11263" max="11507" width="9.140625" style="849"/>
    <col min="11508" max="11508" width="5.5703125" style="849" customWidth="1"/>
    <col min="11509" max="11509" width="58" style="849" customWidth="1"/>
    <col min="11510" max="11510" width="24.140625" style="849" customWidth="1"/>
    <col min="11511" max="11512" width="0" style="849" hidden="1" customWidth="1"/>
    <col min="11513" max="11513" width="61.42578125" style="849" customWidth="1"/>
    <col min="11514" max="11514" width="62.140625" style="849" customWidth="1"/>
    <col min="11515" max="11518" width="0" style="849" hidden="1" customWidth="1"/>
    <col min="11519" max="11763" width="9.140625" style="849"/>
    <col min="11764" max="11764" width="5.5703125" style="849" customWidth="1"/>
    <col min="11765" max="11765" width="58" style="849" customWidth="1"/>
    <col min="11766" max="11766" width="24.140625" style="849" customWidth="1"/>
    <col min="11767" max="11768" width="0" style="849" hidden="1" customWidth="1"/>
    <col min="11769" max="11769" width="61.42578125" style="849" customWidth="1"/>
    <col min="11770" max="11770" width="62.140625" style="849" customWidth="1"/>
    <col min="11771" max="11774" width="0" style="849" hidden="1" customWidth="1"/>
    <col min="11775" max="12019" width="9.140625" style="849"/>
    <col min="12020" max="12020" width="5.5703125" style="849" customWidth="1"/>
    <col min="12021" max="12021" width="58" style="849" customWidth="1"/>
    <col min="12022" max="12022" width="24.140625" style="849" customWidth="1"/>
    <col min="12023" max="12024" width="0" style="849" hidden="1" customWidth="1"/>
    <col min="12025" max="12025" width="61.42578125" style="849" customWidth="1"/>
    <col min="12026" max="12026" width="62.140625" style="849" customWidth="1"/>
    <col min="12027" max="12030" width="0" style="849" hidden="1" customWidth="1"/>
    <col min="12031" max="12275" width="9.140625" style="849"/>
    <col min="12276" max="12276" width="5.5703125" style="849" customWidth="1"/>
    <col min="12277" max="12277" width="58" style="849" customWidth="1"/>
    <col min="12278" max="12278" width="24.140625" style="849" customWidth="1"/>
    <col min="12279" max="12280" width="0" style="849" hidden="1" customWidth="1"/>
    <col min="12281" max="12281" width="61.42578125" style="849" customWidth="1"/>
    <col min="12282" max="12282" width="62.140625" style="849" customWidth="1"/>
    <col min="12283" max="12286" width="0" style="849" hidden="1" customWidth="1"/>
    <col min="12287" max="12531" width="9.140625" style="849"/>
    <col min="12532" max="12532" width="5.5703125" style="849" customWidth="1"/>
    <col min="12533" max="12533" width="58" style="849" customWidth="1"/>
    <col min="12534" max="12534" width="24.140625" style="849" customWidth="1"/>
    <col min="12535" max="12536" width="0" style="849" hidden="1" customWidth="1"/>
    <col min="12537" max="12537" width="61.42578125" style="849" customWidth="1"/>
    <col min="12538" max="12538" width="62.140625" style="849" customWidth="1"/>
    <col min="12539" max="12542" width="0" style="849" hidden="1" customWidth="1"/>
    <col min="12543" max="12787" width="9.140625" style="849"/>
    <col min="12788" max="12788" width="5.5703125" style="849" customWidth="1"/>
    <col min="12789" max="12789" width="58" style="849" customWidth="1"/>
    <col min="12790" max="12790" width="24.140625" style="849" customWidth="1"/>
    <col min="12791" max="12792" width="0" style="849" hidden="1" customWidth="1"/>
    <col min="12793" max="12793" width="61.42578125" style="849" customWidth="1"/>
    <col min="12794" max="12794" width="62.140625" style="849" customWidth="1"/>
    <col min="12795" max="12798" width="0" style="849" hidden="1" customWidth="1"/>
    <col min="12799" max="13043" width="9.140625" style="849"/>
    <col min="13044" max="13044" width="5.5703125" style="849" customWidth="1"/>
    <col min="13045" max="13045" width="58" style="849" customWidth="1"/>
    <col min="13046" max="13046" width="24.140625" style="849" customWidth="1"/>
    <col min="13047" max="13048" width="0" style="849" hidden="1" customWidth="1"/>
    <col min="13049" max="13049" width="61.42578125" style="849" customWidth="1"/>
    <col min="13050" max="13050" width="62.140625" style="849" customWidth="1"/>
    <col min="13051" max="13054" width="0" style="849" hidden="1" customWidth="1"/>
    <col min="13055" max="13299" width="9.140625" style="849"/>
    <col min="13300" max="13300" width="5.5703125" style="849" customWidth="1"/>
    <col min="13301" max="13301" width="58" style="849" customWidth="1"/>
    <col min="13302" max="13302" width="24.140625" style="849" customWidth="1"/>
    <col min="13303" max="13304" width="0" style="849" hidden="1" customWidth="1"/>
    <col min="13305" max="13305" width="61.42578125" style="849" customWidth="1"/>
    <col min="13306" max="13306" width="62.140625" style="849" customWidth="1"/>
    <col min="13307" max="13310" width="0" style="849" hidden="1" customWidth="1"/>
    <col min="13311" max="13555" width="9.140625" style="849"/>
    <col min="13556" max="13556" width="5.5703125" style="849" customWidth="1"/>
    <col min="13557" max="13557" width="58" style="849" customWidth="1"/>
    <col min="13558" max="13558" width="24.140625" style="849" customWidth="1"/>
    <col min="13559" max="13560" width="0" style="849" hidden="1" customWidth="1"/>
    <col min="13561" max="13561" width="61.42578125" style="849" customWidth="1"/>
    <col min="13562" max="13562" width="62.140625" style="849" customWidth="1"/>
    <col min="13563" max="13566" width="0" style="849" hidden="1" customWidth="1"/>
    <col min="13567" max="13811" width="9.140625" style="849"/>
    <col min="13812" max="13812" width="5.5703125" style="849" customWidth="1"/>
    <col min="13813" max="13813" width="58" style="849" customWidth="1"/>
    <col min="13814" max="13814" width="24.140625" style="849" customWidth="1"/>
    <col min="13815" max="13816" width="0" style="849" hidden="1" customWidth="1"/>
    <col min="13817" max="13817" width="61.42578125" style="849" customWidth="1"/>
    <col min="13818" max="13818" width="62.140625" style="849" customWidth="1"/>
    <col min="13819" max="13822" width="0" style="849" hidden="1" customWidth="1"/>
    <col min="13823" max="14067" width="9.140625" style="849"/>
    <col min="14068" max="14068" width="5.5703125" style="849" customWidth="1"/>
    <col min="14069" max="14069" width="58" style="849" customWidth="1"/>
    <col min="14070" max="14070" width="24.140625" style="849" customWidth="1"/>
    <col min="14071" max="14072" width="0" style="849" hidden="1" customWidth="1"/>
    <col min="14073" max="14073" width="61.42578125" style="849" customWidth="1"/>
    <col min="14074" max="14074" width="62.140625" style="849" customWidth="1"/>
    <col min="14075" max="14078" width="0" style="849" hidden="1" customWidth="1"/>
    <col min="14079" max="14323" width="9.140625" style="849"/>
    <col min="14324" max="14324" width="5.5703125" style="849" customWidth="1"/>
    <col min="14325" max="14325" width="58" style="849" customWidth="1"/>
    <col min="14326" max="14326" width="24.140625" style="849" customWidth="1"/>
    <col min="14327" max="14328" width="0" style="849" hidden="1" customWidth="1"/>
    <col min="14329" max="14329" width="61.42578125" style="849" customWidth="1"/>
    <col min="14330" max="14330" width="62.140625" style="849" customWidth="1"/>
    <col min="14331" max="14334" width="0" style="849" hidden="1" customWidth="1"/>
    <col min="14335" max="14579" width="9.140625" style="849"/>
    <col min="14580" max="14580" width="5.5703125" style="849" customWidth="1"/>
    <col min="14581" max="14581" width="58" style="849" customWidth="1"/>
    <col min="14582" max="14582" width="24.140625" style="849" customWidth="1"/>
    <col min="14583" max="14584" width="0" style="849" hidden="1" customWidth="1"/>
    <col min="14585" max="14585" width="61.42578125" style="849" customWidth="1"/>
    <col min="14586" max="14586" width="62.140625" style="849" customWidth="1"/>
    <col min="14587" max="14590" width="0" style="849" hidden="1" customWidth="1"/>
    <col min="14591" max="14835" width="9.140625" style="849"/>
    <col min="14836" max="14836" width="5.5703125" style="849" customWidth="1"/>
    <col min="14837" max="14837" width="58" style="849" customWidth="1"/>
    <col min="14838" max="14838" width="24.140625" style="849" customWidth="1"/>
    <col min="14839" max="14840" width="0" style="849" hidden="1" customWidth="1"/>
    <col min="14841" max="14841" width="61.42578125" style="849" customWidth="1"/>
    <col min="14842" max="14842" width="62.140625" style="849" customWidth="1"/>
    <col min="14843" max="14846" width="0" style="849" hidden="1" customWidth="1"/>
    <col min="14847" max="15091" width="9.140625" style="849"/>
    <col min="15092" max="15092" width="5.5703125" style="849" customWidth="1"/>
    <col min="15093" max="15093" width="58" style="849" customWidth="1"/>
    <col min="15094" max="15094" width="24.140625" style="849" customWidth="1"/>
    <col min="15095" max="15096" width="0" style="849" hidden="1" customWidth="1"/>
    <col min="15097" max="15097" width="61.42578125" style="849" customWidth="1"/>
    <col min="15098" max="15098" width="62.140625" style="849" customWidth="1"/>
    <col min="15099" max="15102" width="0" style="849" hidden="1" customWidth="1"/>
    <col min="15103" max="15347" width="9.140625" style="849"/>
    <col min="15348" max="15348" width="5.5703125" style="849" customWidth="1"/>
    <col min="15349" max="15349" width="58" style="849" customWidth="1"/>
    <col min="15350" max="15350" width="24.140625" style="849" customWidth="1"/>
    <col min="15351" max="15352" width="0" style="849" hidden="1" customWidth="1"/>
    <col min="15353" max="15353" width="61.42578125" style="849" customWidth="1"/>
    <col min="15354" max="15354" width="62.140625" style="849" customWidth="1"/>
    <col min="15355" max="15358" width="0" style="849" hidden="1" customWidth="1"/>
    <col min="15359" max="15603" width="9.140625" style="849"/>
    <col min="15604" max="15604" width="5.5703125" style="849" customWidth="1"/>
    <col min="15605" max="15605" width="58" style="849" customWidth="1"/>
    <col min="15606" max="15606" width="24.140625" style="849" customWidth="1"/>
    <col min="15607" max="15608" width="0" style="849" hidden="1" customWidth="1"/>
    <col min="15609" max="15609" width="61.42578125" style="849" customWidth="1"/>
    <col min="15610" max="15610" width="62.140625" style="849" customWidth="1"/>
    <col min="15611" max="15614" width="0" style="849" hidden="1" customWidth="1"/>
    <col min="15615" max="15859" width="9.140625" style="849"/>
    <col min="15860" max="15860" width="5.5703125" style="849" customWidth="1"/>
    <col min="15861" max="15861" width="58" style="849" customWidth="1"/>
    <col min="15862" max="15862" width="24.140625" style="849" customWidth="1"/>
    <col min="15863" max="15864" width="0" style="849" hidden="1" customWidth="1"/>
    <col min="15865" max="15865" width="61.42578125" style="849" customWidth="1"/>
    <col min="15866" max="15866" width="62.140625" style="849" customWidth="1"/>
    <col min="15867" max="15870" width="0" style="849" hidden="1" customWidth="1"/>
    <col min="15871" max="16115" width="9.140625" style="849"/>
    <col min="16116" max="16116" width="5.5703125" style="849" customWidth="1"/>
    <col min="16117" max="16117" width="58" style="849" customWidth="1"/>
    <col min="16118" max="16118" width="24.140625" style="849" customWidth="1"/>
    <col min="16119" max="16120" width="0" style="849" hidden="1" customWidth="1"/>
    <col min="16121" max="16121" width="61.42578125" style="849" customWidth="1"/>
    <col min="16122" max="16122" width="62.140625" style="849" customWidth="1"/>
    <col min="16123" max="16126" width="0" style="849" hidden="1" customWidth="1"/>
    <col min="16127" max="16370" width="9.140625" style="849"/>
    <col min="16371" max="16384" width="8.85546875" style="849" customWidth="1"/>
  </cols>
  <sheetData>
    <row r="1" spans="2:6" x14ac:dyDescent="0.4">
      <c r="C1" s="850" t="s">
        <v>498</v>
      </c>
    </row>
    <row r="2" spans="2:6" x14ac:dyDescent="0.4">
      <c r="C2" s="852">
        <v>44317</v>
      </c>
    </row>
    <row r="3" spans="2:6" x14ac:dyDescent="0.4">
      <c r="B3" s="853"/>
      <c r="C3" s="854" t="s">
        <v>499</v>
      </c>
    </row>
    <row r="4" spans="2:6" ht="24.95" customHeight="1" thickBot="1" x14ac:dyDescent="0.45">
      <c r="B4" s="855" t="s">
        <v>500</v>
      </c>
      <c r="C4" s="856" t="s">
        <v>501</v>
      </c>
      <c r="D4" s="855" t="s">
        <v>502</v>
      </c>
      <c r="E4" s="857" t="s">
        <v>503</v>
      </c>
      <c r="F4" s="857" t="s">
        <v>504</v>
      </c>
    </row>
    <row r="5" spans="2:6" ht="39.950000000000003" customHeight="1" x14ac:dyDescent="0.4">
      <c r="B5" s="858" t="s">
        <v>505</v>
      </c>
      <c r="C5" s="859">
        <f>'[20]DC  CNA  DC III'!J6</f>
        <v>19.000800000000002</v>
      </c>
      <c r="D5" s="904" t="s">
        <v>506</v>
      </c>
      <c r="E5" s="897" t="s">
        <v>507</v>
      </c>
      <c r="F5" s="897" t="s">
        <v>508</v>
      </c>
    </row>
    <row r="6" spans="2:6" ht="42.6" customHeight="1" thickBot="1" x14ac:dyDescent="0.45">
      <c r="B6" s="860" t="s">
        <v>509</v>
      </c>
      <c r="C6" s="861">
        <f>C5*2080</f>
        <v>39521.664000000004</v>
      </c>
      <c r="D6" s="905"/>
      <c r="E6" s="898"/>
      <c r="F6" s="898"/>
    </row>
    <row r="7" spans="2:6" x14ac:dyDescent="0.4">
      <c r="B7" s="858" t="s">
        <v>510</v>
      </c>
      <c r="C7" s="859">
        <f>'[20]DC  CNA  DC III'!J19</f>
        <v>24.241120000000002</v>
      </c>
      <c r="D7" s="862" t="s">
        <v>511</v>
      </c>
      <c r="E7" s="897" t="s">
        <v>512</v>
      </c>
      <c r="F7" s="897" t="s">
        <v>513</v>
      </c>
    </row>
    <row r="8" spans="2:6" ht="27" thickBot="1" x14ac:dyDescent="0.45">
      <c r="B8" s="863" t="s">
        <v>514</v>
      </c>
      <c r="C8" s="864">
        <f>C7*2080</f>
        <v>50421.529600000002</v>
      </c>
      <c r="D8" s="849" t="s">
        <v>515</v>
      </c>
      <c r="E8" s="903"/>
      <c r="F8" s="903"/>
    </row>
    <row r="9" spans="2:6" x14ac:dyDescent="0.4">
      <c r="B9" s="858" t="s">
        <v>516</v>
      </c>
      <c r="C9" s="859">
        <f>'[20]DC  CNA  DC III'!J10</f>
        <v>18.008399999999998</v>
      </c>
      <c r="D9" s="862"/>
      <c r="E9" s="897" t="s">
        <v>517</v>
      </c>
      <c r="F9" s="897" t="s">
        <v>518</v>
      </c>
    </row>
    <row r="10" spans="2:6" ht="27" thickBot="1" x14ac:dyDescent="0.45">
      <c r="B10" s="860" t="s">
        <v>519</v>
      </c>
      <c r="C10" s="861">
        <f>C9*2080</f>
        <v>37457.471999999994</v>
      </c>
      <c r="D10" s="865"/>
      <c r="E10" s="898"/>
      <c r="F10" s="898"/>
    </row>
    <row r="11" spans="2:6" x14ac:dyDescent="0.4">
      <c r="B11" s="858" t="s">
        <v>520</v>
      </c>
      <c r="C11" s="859">
        <f>'[20]Case Social Worker.Manager'!J4</f>
        <v>24.3888</v>
      </c>
      <c r="D11" s="862" t="s">
        <v>521</v>
      </c>
      <c r="E11" s="897" t="s">
        <v>522</v>
      </c>
      <c r="F11" s="897" t="s">
        <v>523</v>
      </c>
    </row>
    <row r="12" spans="2:6" ht="27" thickBot="1" x14ac:dyDescent="0.45">
      <c r="B12" s="863" t="s">
        <v>524</v>
      </c>
      <c r="C12" s="864">
        <f>C11*2080</f>
        <v>50728.703999999998</v>
      </c>
      <c r="D12" s="849" t="s">
        <v>525</v>
      </c>
      <c r="E12" s="903"/>
      <c r="F12" s="903"/>
    </row>
    <row r="13" spans="2:6" ht="78.75" x14ac:dyDescent="0.4">
      <c r="B13" s="866" t="s">
        <v>526</v>
      </c>
      <c r="C13" s="859">
        <f>'[20]Case Social Worker.Manager'!J11</f>
        <v>30.569499999999998</v>
      </c>
      <c r="D13" s="862" t="s">
        <v>527</v>
      </c>
      <c r="E13" s="897" t="s">
        <v>528</v>
      </c>
      <c r="F13" s="897" t="s">
        <v>529</v>
      </c>
    </row>
    <row r="14" spans="2:6" ht="53.25" thickBot="1" x14ac:dyDescent="0.45">
      <c r="B14" s="867" t="s">
        <v>530</v>
      </c>
      <c r="C14" s="861">
        <f>C13*2080</f>
        <v>63584.56</v>
      </c>
      <c r="D14" s="865" t="s">
        <v>531</v>
      </c>
      <c r="E14" s="898"/>
      <c r="F14" s="898"/>
    </row>
    <row r="15" spans="2:6" x14ac:dyDescent="0.4">
      <c r="B15" s="858" t="s">
        <v>532</v>
      </c>
      <c r="C15" s="859">
        <f>[20]Nursing!J2</f>
        <v>29.084</v>
      </c>
      <c r="D15" s="862"/>
      <c r="E15" s="897" t="s">
        <v>533</v>
      </c>
      <c r="F15" s="897" t="s">
        <v>534</v>
      </c>
    </row>
    <row r="16" spans="2:6" ht="27" thickBot="1" x14ac:dyDescent="0.45">
      <c r="B16" s="860" t="s">
        <v>535</v>
      </c>
      <c r="C16" s="861">
        <f>C15*2080</f>
        <v>60494.720000000001</v>
      </c>
      <c r="D16" s="865" t="s">
        <v>536</v>
      </c>
      <c r="E16" s="898"/>
      <c r="F16" s="898"/>
    </row>
    <row r="17" spans="2:6" x14ac:dyDescent="0.4">
      <c r="B17" s="858" t="s">
        <v>537</v>
      </c>
      <c r="C17" s="859">
        <f>[20]Clinical!J6</f>
        <v>35.178200000000004</v>
      </c>
      <c r="D17" s="862" t="s">
        <v>538</v>
      </c>
      <c r="E17" s="897" t="s">
        <v>539</v>
      </c>
      <c r="F17" s="897" t="s">
        <v>540</v>
      </c>
    </row>
    <row r="18" spans="2:6" ht="27" thickBot="1" x14ac:dyDescent="0.45">
      <c r="B18" s="860" t="s">
        <v>541</v>
      </c>
      <c r="C18" s="861">
        <f>C17*2080</f>
        <v>73170.656000000003</v>
      </c>
      <c r="D18" s="865"/>
      <c r="E18" s="898"/>
      <c r="F18" s="898"/>
    </row>
    <row r="19" spans="2:6" x14ac:dyDescent="0.4">
      <c r="B19" s="858" t="s">
        <v>542</v>
      </c>
      <c r="C19" s="868">
        <f>[20]Therapies!M2</f>
        <v>30.937200000000001</v>
      </c>
      <c r="D19" s="862"/>
      <c r="E19" s="897" t="s">
        <v>543</v>
      </c>
      <c r="F19" s="897" t="s">
        <v>544</v>
      </c>
    </row>
    <row r="20" spans="2:6" ht="27" thickBot="1" x14ac:dyDescent="0.45">
      <c r="B20" s="860" t="s">
        <v>545</v>
      </c>
      <c r="C20" s="861">
        <f>C19*2080</f>
        <v>64349.376000000004</v>
      </c>
      <c r="D20" s="865"/>
      <c r="E20" s="898"/>
      <c r="F20" s="898"/>
    </row>
    <row r="21" spans="2:6" x14ac:dyDescent="0.4">
      <c r="B21" s="863" t="s">
        <v>546</v>
      </c>
      <c r="C21" s="869">
        <f>[20]Management!J2</f>
        <v>35.084000000000003</v>
      </c>
      <c r="D21" s="849" t="s">
        <v>547</v>
      </c>
      <c r="E21" s="897" t="s">
        <v>548</v>
      </c>
      <c r="F21" s="901" t="s">
        <v>549</v>
      </c>
    </row>
    <row r="22" spans="2:6" ht="27" thickBot="1" x14ac:dyDescent="0.45">
      <c r="B22" s="860" t="s">
        <v>550</v>
      </c>
      <c r="C22" s="861">
        <f>C21*2080</f>
        <v>72974.720000000001</v>
      </c>
      <c r="D22" s="865" t="s">
        <v>551</v>
      </c>
      <c r="E22" s="898"/>
      <c r="F22" s="902"/>
    </row>
    <row r="23" spans="2:6" x14ac:dyDescent="0.4">
      <c r="B23" s="863" t="s">
        <v>552</v>
      </c>
      <c r="C23" s="869">
        <f>[20]Therapies!M8</f>
        <v>38.650100000000002</v>
      </c>
      <c r="D23" s="849" t="s">
        <v>553</v>
      </c>
      <c r="E23" s="897" t="s">
        <v>528</v>
      </c>
      <c r="F23" s="897" t="s">
        <v>554</v>
      </c>
    </row>
    <row r="24" spans="2:6" ht="27" thickBot="1" x14ac:dyDescent="0.45">
      <c r="B24" s="860" t="s">
        <v>555</v>
      </c>
      <c r="C24" s="861">
        <f>C23*2080</f>
        <v>80392.207999999999</v>
      </c>
      <c r="D24" s="865"/>
      <c r="E24" s="898"/>
      <c r="F24" s="898"/>
    </row>
    <row r="25" spans="2:6" x14ac:dyDescent="0.4">
      <c r="B25" s="863" t="s">
        <v>556</v>
      </c>
      <c r="C25" s="869">
        <f>[20]Therapies!M14</f>
        <v>40.563600000000001</v>
      </c>
      <c r="D25" s="849" t="s">
        <v>557</v>
      </c>
      <c r="E25" s="897" t="s">
        <v>528</v>
      </c>
      <c r="F25" s="897" t="s">
        <v>558</v>
      </c>
    </row>
    <row r="26" spans="2:6" ht="27" thickBot="1" x14ac:dyDescent="0.45">
      <c r="B26" s="860" t="s">
        <v>559</v>
      </c>
      <c r="C26" s="864">
        <f>C25*2080</f>
        <v>84372.288</v>
      </c>
      <c r="E26" s="898"/>
      <c r="F26" s="898"/>
    </row>
    <row r="27" spans="2:6" x14ac:dyDescent="0.4">
      <c r="B27" s="858" t="s">
        <v>560</v>
      </c>
      <c r="C27" s="859">
        <f>[20]Clinical!J12</f>
        <v>43.1312</v>
      </c>
      <c r="D27" s="899" t="s">
        <v>561</v>
      </c>
      <c r="E27" s="897" t="s">
        <v>562</v>
      </c>
      <c r="F27" s="897" t="s">
        <v>563</v>
      </c>
    </row>
    <row r="28" spans="2:6" ht="34.5" customHeight="1" thickBot="1" x14ac:dyDescent="0.45">
      <c r="B28" s="860" t="s">
        <v>564</v>
      </c>
      <c r="C28" s="861">
        <f>C27*2080</f>
        <v>89712.895999999993</v>
      </c>
      <c r="D28" s="900"/>
      <c r="E28" s="898"/>
      <c r="F28" s="898"/>
    </row>
    <row r="29" spans="2:6" x14ac:dyDescent="0.4">
      <c r="B29" s="858" t="s">
        <v>565</v>
      </c>
      <c r="C29" s="859">
        <f>[20]Therapies!M18</f>
        <v>43.066240000000008</v>
      </c>
      <c r="D29" s="862"/>
      <c r="E29" s="897" t="s">
        <v>528</v>
      </c>
      <c r="F29" s="897" t="s">
        <v>566</v>
      </c>
    </row>
    <row r="30" spans="2:6" ht="27" thickBot="1" x14ac:dyDescent="0.45">
      <c r="B30" s="860" t="s">
        <v>567</v>
      </c>
      <c r="C30" s="861">
        <f>C29*2080</f>
        <v>89577.779200000019</v>
      </c>
      <c r="D30" s="865"/>
      <c r="E30" s="898"/>
      <c r="F30" s="898"/>
    </row>
    <row r="31" spans="2:6" x14ac:dyDescent="0.4">
      <c r="B31" s="858" t="s">
        <v>587</v>
      </c>
      <c r="C31" s="859">
        <f>[20]Nursing!J6</f>
        <v>47.109200000000001</v>
      </c>
      <c r="D31" s="862"/>
      <c r="E31" s="897" t="s">
        <v>568</v>
      </c>
      <c r="F31" s="897" t="s">
        <v>569</v>
      </c>
    </row>
    <row r="32" spans="2:6" ht="38.450000000000003" customHeight="1" thickBot="1" x14ac:dyDescent="0.45">
      <c r="B32" s="860" t="s">
        <v>570</v>
      </c>
      <c r="C32" s="861">
        <f>C31*2080</f>
        <v>97987.135999999999</v>
      </c>
      <c r="D32" s="865"/>
      <c r="E32" s="898"/>
      <c r="F32" s="898"/>
    </row>
    <row r="33" spans="2:6" x14ac:dyDescent="0.4">
      <c r="B33" s="858" t="s">
        <v>588</v>
      </c>
      <c r="C33" s="859">
        <f>[20]Nursing!J11</f>
        <v>62.008800000000001</v>
      </c>
      <c r="D33" s="862"/>
      <c r="E33" s="897" t="s">
        <v>571</v>
      </c>
      <c r="F33" s="897" t="s">
        <v>572</v>
      </c>
    </row>
    <row r="34" spans="2:6" ht="27" thickBot="1" x14ac:dyDescent="0.45">
      <c r="B34" s="860" t="s">
        <v>573</v>
      </c>
      <c r="C34" s="861">
        <f>C33*2080</f>
        <v>128978.304</v>
      </c>
      <c r="D34" s="865"/>
      <c r="E34" s="898"/>
      <c r="F34" s="898"/>
    </row>
    <row r="36" spans="2:6" ht="78.75" x14ac:dyDescent="0.4">
      <c r="B36" s="870" t="s">
        <v>574</v>
      </c>
      <c r="C36" s="864">
        <f>C6</f>
        <v>39521.664000000004</v>
      </c>
    </row>
    <row r="37" spans="2:6" x14ac:dyDescent="0.4">
      <c r="C37" s="871"/>
    </row>
    <row r="38" spans="2:6" x14ac:dyDescent="0.4">
      <c r="B38" s="872" t="s">
        <v>575</v>
      </c>
      <c r="C38" s="873">
        <f>23.39%+2%</f>
        <v>0.25390000000000001</v>
      </c>
      <c r="D38" s="849" t="s">
        <v>576</v>
      </c>
    </row>
    <row r="39" spans="2:6" ht="34.35" customHeight="1" x14ac:dyDescent="0.4">
      <c r="B39" s="872"/>
      <c r="C39" s="871"/>
      <c r="D39" s="895" t="s">
        <v>577</v>
      </c>
      <c r="E39" s="895"/>
      <c r="F39" s="849"/>
    </row>
    <row r="40" spans="2:6" x14ac:dyDescent="0.4">
      <c r="C40" s="871"/>
    </row>
    <row r="41" spans="2:6" x14ac:dyDescent="0.4">
      <c r="B41" s="872" t="s">
        <v>330</v>
      </c>
      <c r="C41" s="874">
        <v>0.12</v>
      </c>
      <c r="D41" s="849" t="s">
        <v>299</v>
      </c>
    </row>
    <row r="42" spans="2:6" x14ac:dyDescent="0.4">
      <c r="B42" s="872"/>
      <c r="C42" s="875"/>
    </row>
    <row r="43" spans="2:6" x14ac:dyDescent="0.4">
      <c r="B43" s="896" t="s">
        <v>578</v>
      </c>
      <c r="C43" s="896"/>
      <c r="D43" s="896"/>
    </row>
    <row r="44" spans="2:6" x14ac:dyDescent="0.4">
      <c r="B44" s="872" t="s">
        <v>579</v>
      </c>
      <c r="C44" s="864">
        <v>247150</v>
      </c>
      <c r="D44" s="849" t="s">
        <v>580</v>
      </c>
    </row>
    <row r="45" spans="2:6" x14ac:dyDescent="0.4">
      <c r="B45" s="872" t="s">
        <v>581</v>
      </c>
      <c r="C45" s="864">
        <v>206010</v>
      </c>
      <c r="D45" s="849" t="s">
        <v>582</v>
      </c>
    </row>
    <row r="46" spans="2:6" x14ac:dyDescent="0.4">
      <c r="B46" s="872" t="s">
        <v>583</v>
      </c>
      <c r="C46" s="864">
        <f>'[20]02021 53_PCT'!N34</f>
        <v>133902.08000000002</v>
      </c>
      <c r="D46" s="849" t="s">
        <v>584</v>
      </c>
    </row>
    <row r="49" spans="3:3" x14ac:dyDescent="0.4">
      <c r="C49" s="876"/>
    </row>
    <row r="50" spans="3:3" x14ac:dyDescent="0.4">
      <c r="C50" s="877"/>
    </row>
  </sheetData>
  <mergeCells count="34">
    <mergeCell ref="E9:E10"/>
    <mergeCell ref="F9:F10"/>
    <mergeCell ref="D5:D6"/>
    <mergeCell ref="E5:E6"/>
    <mergeCell ref="F5:F6"/>
    <mergeCell ref="E7:E8"/>
    <mergeCell ref="F7:F8"/>
    <mergeCell ref="E11:E12"/>
    <mergeCell ref="F11:F12"/>
    <mergeCell ref="E13:E14"/>
    <mergeCell ref="F13:F14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D27:D28"/>
    <mergeCell ref="E27:E28"/>
    <mergeCell ref="F27:F28"/>
    <mergeCell ref="D39:E39"/>
    <mergeCell ref="B43:D43"/>
    <mergeCell ref="E29:E30"/>
    <mergeCell ref="F29:F30"/>
    <mergeCell ref="E31:E32"/>
    <mergeCell ref="F31:F32"/>
    <mergeCell ref="E33:E34"/>
    <mergeCell ref="F33:F34"/>
  </mergeCells>
  <pageMargins left="0.7" right="0.7" top="0.75" bottom="0.75" header="0.3" footer="0.3"/>
  <pageSetup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B8A9-194C-4A70-A5FC-E3847D75FB1E}">
  <sheetPr>
    <pageSetUpPr fitToPage="1"/>
  </sheetPr>
  <dimension ref="A1:J94"/>
  <sheetViews>
    <sheetView topLeftCell="A37" zoomScaleNormal="100" zoomScaleSheetLayoutView="100" workbookViewId="0">
      <selection activeCell="I9" sqref="I9"/>
    </sheetView>
  </sheetViews>
  <sheetFormatPr defaultColWidth="18.42578125" defaultRowHeight="12.75" x14ac:dyDescent="0.2"/>
  <cols>
    <col min="1" max="1" width="36.85546875" style="120" customWidth="1"/>
    <col min="2" max="2" width="9.140625" style="120" bestFit="1" customWidth="1"/>
    <col min="3" max="4" width="18.42578125" style="120"/>
    <col min="5" max="5" width="10.85546875" style="121" customWidth="1"/>
    <col min="6" max="6" width="27.7109375" style="120" customWidth="1"/>
    <col min="7" max="7" width="18.42578125" style="120"/>
    <col min="8" max="8" width="7.7109375" style="120" bestFit="1" customWidth="1"/>
    <col min="9" max="9" width="51.140625" style="120" customWidth="1"/>
    <col min="10" max="16384" width="18.42578125" style="120"/>
  </cols>
  <sheetData>
    <row r="1" spans="1:10" ht="20.25" customHeight="1" thickBot="1" x14ac:dyDescent="0.25">
      <c r="A1" s="947" t="s">
        <v>260</v>
      </c>
      <c r="B1" s="948"/>
      <c r="C1" s="948"/>
      <c r="D1" s="948"/>
    </row>
    <row r="2" spans="1:10" ht="13.5" customHeight="1" thickBot="1" x14ac:dyDescent="0.25">
      <c r="A2" s="912" t="s">
        <v>261</v>
      </c>
      <c r="B2" s="913"/>
      <c r="C2" s="913"/>
      <c r="D2" s="914"/>
      <c r="F2" s="921" t="s">
        <v>164</v>
      </c>
      <c r="G2" s="921"/>
      <c r="H2" s="921"/>
      <c r="I2" s="921"/>
    </row>
    <row r="3" spans="1:10" ht="13.5" thickBot="1" x14ac:dyDescent="0.25">
      <c r="A3" s="915"/>
      <c r="B3" s="916"/>
      <c r="C3" s="916"/>
      <c r="D3" s="917"/>
    </row>
    <row r="4" spans="1:10" ht="13.5" thickBot="1" x14ac:dyDescent="0.25">
      <c r="A4" s="122" t="s">
        <v>165</v>
      </c>
      <c r="B4" s="128">
        <v>9</v>
      </c>
      <c r="C4" s="200" t="s">
        <v>166</v>
      </c>
      <c r="D4" s="220">
        <f>B4*365</f>
        <v>3285</v>
      </c>
      <c r="E4" s="279"/>
      <c r="F4" s="124" t="s">
        <v>167</v>
      </c>
      <c r="G4" s="922" t="s">
        <v>168</v>
      </c>
      <c r="H4" s="922"/>
      <c r="I4" s="125"/>
    </row>
    <row r="5" spans="1:10" ht="13.5" thickBot="1" x14ac:dyDescent="0.25">
      <c r="A5" s="174"/>
      <c r="B5" s="175"/>
      <c r="C5" s="175" t="s">
        <v>169</v>
      </c>
      <c r="D5" s="208" t="s">
        <v>170</v>
      </c>
      <c r="E5" s="279"/>
      <c r="F5" s="122"/>
      <c r="G5" s="128" t="s">
        <v>156</v>
      </c>
      <c r="H5" s="129" t="s">
        <v>157</v>
      </c>
      <c r="I5" s="130"/>
    </row>
    <row r="6" spans="1:10" ht="15" customHeight="1" x14ac:dyDescent="0.2">
      <c r="A6" s="126" t="s">
        <v>172</v>
      </c>
      <c r="C6" s="277">
        <v>1.75</v>
      </c>
      <c r="D6" s="135">
        <v>118542</v>
      </c>
      <c r="F6" s="126" t="s">
        <v>171</v>
      </c>
      <c r="G6" s="121">
        <v>15</v>
      </c>
      <c r="H6" s="121">
        <f>G6*8</f>
        <v>120</v>
      </c>
      <c r="I6" s="130"/>
    </row>
    <row r="7" spans="1:10" ht="15" customHeight="1" x14ac:dyDescent="0.2">
      <c r="A7" s="126" t="s">
        <v>177</v>
      </c>
      <c r="C7" s="218">
        <v>5.69</v>
      </c>
      <c r="D7" s="135">
        <v>382830</v>
      </c>
      <c r="F7" s="126" t="s">
        <v>173</v>
      </c>
      <c r="G7" s="121">
        <v>8</v>
      </c>
      <c r="H7" s="121">
        <f>G7*8</f>
        <v>64</v>
      </c>
      <c r="I7" s="130"/>
    </row>
    <row r="8" spans="1:10" ht="15" customHeight="1" x14ac:dyDescent="0.2">
      <c r="A8" s="137" t="s">
        <v>220</v>
      </c>
      <c r="B8" s="273"/>
      <c r="C8" s="278">
        <v>17.39</v>
      </c>
      <c r="D8" s="275">
        <v>729911</v>
      </c>
      <c r="F8" s="126" t="s">
        <v>174</v>
      </c>
      <c r="G8" s="121">
        <v>11</v>
      </c>
      <c r="H8" s="121">
        <f>G8*8</f>
        <v>88</v>
      </c>
      <c r="I8" s="136" t="s">
        <v>493</v>
      </c>
    </row>
    <row r="9" spans="1:10" ht="15" customHeight="1" x14ac:dyDescent="0.2">
      <c r="A9" s="153" t="s">
        <v>187</v>
      </c>
      <c r="B9" s="154"/>
      <c r="C9" s="193">
        <f>SUM(C6:C8)</f>
        <v>24.830000000000002</v>
      </c>
      <c r="D9" s="155">
        <f>SUM(D6:D8)</f>
        <v>1231283</v>
      </c>
      <c r="F9" s="137" t="s">
        <v>176</v>
      </c>
      <c r="G9" s="138">
        <v>5</v>
      </c>
      <c r="H9" s="138">
        <f>G9*8</f>
        <v>40</v>
      </c>
      <c r="I9" s="139"/>
      <c r="J9" s="120" t="s">
        <v>262</v>
      </c>
    </row>
    <row r="10" spans="1:10" ht="15" customHeight="1" x14ac:dyDescent="0.2">
      <c r="A10" s="122" t="s">
        <v>229</v>
      </c>
      <c r="C10" s="128" t="s">
        <v>189</v>
      </c>
      <c r="D10" s="127"/>
      <c r="F10" s="126"/>
      <c r="G10" s="141" t="s">
        <v>161</v>
      </c>
      <c r="H10" s="121">
        <f>SUM(H6:H9)</f>
        <v>312</v>
      </c>
      <c r="I10" s="142"/>
    </row>
    <row r="11" spans="1:10" ht="15" customHeight="1" thickBot="1" x14ac:dyDescent="0.25">
      <c r="A11" s="126" t="s">
        <v>192</v>
      </c>
      <c r="B11" s="156">
        <f>H39</f>
        <v>0.25390000000000001</v>
      </c>
      <c r="D11" s="135">
        <f>B11*D9</f>
        <v>312622.7537</v>
      </c>
      <c r="F11" s="144"/>
      <c r="G11" s="145" t="s">
        <v>178</v>
      </c>
      <c r="H11" s="280">
        <f>H10/(52*40)</f>
        <v>0.15</v>
      </c>
      <c r="I11" s="292"/>
    </row>
    <row r="12" spans="1:10" ht="15" customHeight="1" x14ac:dyDescent="0.2">
      <c r="A12" s="126" t="s">
        <v>483</v>
      </c>
      <c r="B12" s="156">
        <f>H48</f>
        <v>2.7812E-2</v>
      </c>
      <c r="D12" s="135">
        <f>(D9+D11)*B12</f>
        <v>42939.106821904403</v>
      </c>
      <c r="G12" s="224"/>
      <c r="H12" s="282"/>
      <c r="I12" s="283"/>
    </row>
    <row r="13" spans="1:10" ht="15" customHeight="1" x14ac:dyDescent="0.2">
      <c r="A13" s="153" t="s">
        <v>194</v>
      </c>
      <c r="B13" s="154"/>
      <c r="C13" s="157"/>
      <c r="D13" s="155">
        <f>SUM(D9:D12)</f>
        <v>1586844.8605219044</v>
      </c>
    </row>
    <row r="14" spans="1:10" ht="15" customHeight="1" thickBot="1" x14ac:dyDescent="0.25">
      <c r="A14" s="126"/>
      <c r="D14" s="229"/>
    </row>
    <row r="15" spans="1:10" ht="15" customHeight="1" thickBot="1" x14ac:dyDescent="0.35">
      <c r="A15" s="126" t="s">
        <v>216</v>
      </c>
      <c r="C15" s="158">
        <f>H41</f>
        <v>30.57</v>
      </c>
      <c r="D15" s="159">
        <f>C15*D4</f>
        <v>100422.45</v>
      </c>
      <c r="F15" s="923" t="s">
        <v>179</v>
      </c>
      <c r="G15" s="924"/>
      <c r="H15" s="924"/>
      <c r="I15" s="925"/>
    </row>
    <row r="16" spans="1:10" ht="15" customHeight="1" x14ac:dyDescent="0.2">
      <c r="A16" s="126" t="s">
        <v>217</v>
      </c>
      <c r="C16" s="158">
        <f>H42</f>
        <v>25</v>
      </c>
      <c r="D16" s="159">
        <f>C16*D4</f>
        <v>82125</v>
      </c>
      <c r="F16" s="932"/>
      <c r="G16" s="933"/>
      <c r="H16" s="933"/>
      <c r="I16" s="934"/>
    </row>
    <row r="17" spans="1:9" ht="15" customHeight="1" x14ac:dyDescent="0.2">
      <c r="A17" s="153" t="s">
        <v>198</v>
      </c>
      <c r="B17" s="154"/>
      <c r="C17" s="154"/>
      <c r="D17" s="155">
        <f>SUM(D13:D16)</f>
        <v>1769392.3105219044</v>
      </c>
      <c r="F17" s="122" t="s">
        <v>172</v>
      </c>
      <c r="H17" s="134"/>
      <c r="I17" s="127"/>
    </row>
    <row r="18" spans="1:9" ht="15" customHeight="1" x14ac:dyDescent="0.2">
      <c r="A18" s="126" t="s">
        <v>199</v>
      </c>
      <c r="B18" s="156">
        <f>H46</f>
        <v>0.12</v>
      </c>
      <c r="D18" s="135">
        <f>B18*(D17-D12)</f>
        <v>207174.384444</v>
      </c>
      <c r="F18" s="122"/>
      <c r="H18" s="134"/>
      <c r="I18" s="127"/>
    </row>
    <row r="19" spans="1:9" ht="15" customHeight="1" thickBot="1" x14ac:dyDescent="0.25">
      <c r="A19" s="313" t="s">
        <v>214</v>
      </c>
      <c r="B19" s="235">
        <f>H48</f>
        <v>2.7812E-2</v>
      </c>
      <c r="C19" s="161"/>
      <c r="D19" s="162">
        <f>(D15+D16)*B19</f>
        <v>5077.0096794000001</v>
      </c>
      <c r="F19" s="122"/>
      <c r="G19" s="121" t="s">
        <v>226</v>
      </c>
      <c r="H19" s="134"/>
      <c r="I19" s="127"/>
    </row>
    <row r="20" spans="1:9" ht="15" customHeight="1" thickTop="1" x14ac:dyDescent="0.2">
      <c r="A20" s="122" t="s">
        <v>485</v>
      </c>
      <c r="B20" s="156"/>
      <c r="D20" s="284">
        <f>SUM(D17:D19)</f>
        <v>1981643.7046453042</v>
      </c>
      <c r="F20" s="126" t="s">
        <v>180</v>
      </c>
      <c r="G20" s="192">
        <v>1</v>
      </c>
      <c r="H20" s="134"/>
      <c r="I20" s="127" t="s">
        <v>181</v>
      </c>
    </row>
    <row r="21" spans="1:9" ht="15" customHeight="1" x14ac:dyDescent="0.2">
      <c r="A21" s="126"/>
      <c r="D21" s="166" t="s">
        <v>201</v>
      </c>
      <c r="F21" s="126" t="s">
        <v>175</v>
      </c>
      <c r="G21" s="192">
        <v>0.75</v>
      </c>
      <c r="H21" s="134"/>
      <c r="I21" s="127" t="s">
        <v>181</v>
      </c>
    </row>
    <row r="22" spans="1:9" ht="15" customHeight="1" thickBot="1" x14ac:dyDescent="0.25">
      <c r="A22" s="126"/>
      <c r="B22" s="291" t="s">
        <v>225</v>
      </c>
      <c r="C22" s="244"/>
      <c r="D22" s="315">
        <f>D20/D4</f>
        <v>603.24009273829654</v>
      </c>
      <c r="F22" s="126"/>
      <c r="G22" s="192"/>
      <c r="H22" s="134"/>
      <c r="I22" s="127"/>
    </row>
    <row r="23" spans="1:9" ht="15" customHeight="1" thickBot="1" x14ac:dyDescent="0.25">
      <c r="A23" s="272" t="s">
        <v>232</v>
      </c>
      <c r="B23" s="252">
        <v>0.8</v>
      </c>
      <c r="C23" s="316"/>
      <c r="D23" s="317">
        <f>D22/B23</f>
        <v>754.05011592287065</v>
      </c>
      <c r="F23" s="126"/>
      <c r="G23" s="192"/>
      <c r="H23" s="134"/>
      <c r="I23" s="127"/>
    </row>
    <row r="24" spans="1:9" ht="15" customHeight="1" thickBot="1" x14ac:dyDescent="0.25">
      <c r="A24" s="230" t="s">
        <v>244</v>
      </c>
      <c r="B24" s="236">
        <v>0.9</v>
      </c>
      <c r="C24" s="319"/>
      <c r="D24" s="232">
        <f>D22/B24</f>
        <v>670.26676970921835</v>
      </c>
      <c r="F24" s="122" t="s">
        <v>177</v>
      </c>
      <c r="G24" s="192"/>
      <c r="H24" s="134"/>
      <c r="I24" s="127"/>
    </row>
    <row r="25" spans="1:9" ht="15" customHeight="1" x14ac:dyDescent="0.2">
      <c r="A25" s="296"/>
      <c r="B25" s="273"/>
      <c r="C25" s="298"/>
      <c r="D25" s="320"/>
      <c r="F25" s="126"/>
      <c r="G25" s="192"/>
      <c r="H25" s="134"/>
      <c r="I25" s="127" t="s">
        <v>181</v>
      </c>
    </row>
    <row r="26" spans="1:9" ht="15" customHeight="1" x14ac:dyDescent="0.2">
      <c r="A26" s="200"/>
      <c r="F26" s="126" t="s">
        <v>184</v>
      </c>
      <c r="G26" s="192">
        <v>0.6</v>
      </c>
      <c r="H26" s="134"/>
      <c r="I26" s="127" t="s">
        <v>181</v>
      </c>
    </row>
    <row r="27" spans="1:9" ht="15" customHeight="1" x14ac:dyDescent="0.2">
      <c r="D27" s="321"/>
      <c r="F27" s="126" t="s">
        <v>248</v>
      </c>
      <c r="G27" s="192">
        <v>4.2</v>
      </c>
      <c r="H27" s="134"/>
      <c r="I27" s="127" t="s">
        <v>181</v>
      </c>
    </row>
    <row r="28" spans="1:9" ht="15" customHeight="1" x14ac:dyDescent="0.2">
      <c r="F28" s="126" t="s">
        <v>186</v>
      </c>
      <c r="G28" s="192">
        <v>0.67</v>
      </c>
      <c r="H28" s="134"/>
      <c r="I28" s="127" t="s">
        <v>181</v>
      </c>
    </row>
    <row r="29" spans="1:9" ht="15" customHeight="1" x14ac:dyDescent="0.2">
      <c r="F29" s="126" t="s">
        <v>249</v>
      </c>
      <c r="G29" s="192">
        <v>0.22</v>
      </c>
      <c r="H29" s="134"/>
      <c r="I29" s="127" t="s">
        <v>191</v>
      </c>
    </row>
    <row r="30" spans="1:9" ht="15" customHeight="1" thickBot="1" x14ac:dyDescent="0.3">
      <c r="A30" s="947" t="s">
        <v>263</v>
      </c>
      <c r="B30" s="948"/>
      <c r="C30" s="948"/>
      <c r="D30" s="948"/>
      <c r="F30" s="226"/>
      <c r="G30" s="816"/>
      <c r="H30" s="227"/>
      <c r="I30" s="228"/>
    </row>
    <row r="31" spans="1:9" ht="15" customHeight="1" x14ac:dyDescent="0.2">
      <c r="A31" s="912" t="s">
        <v>261</v>
      </c>
      <c r="B31" s="913"/>
      <c r="C31" s="913"/>
      <c r="D31" s="914"/>
      <c r="F31" s="122" t="s">
        <v>121</v>
      </c>
      <c r="G31" s="192"/>
      <c r="H31" s="134"/>
      <c r="I31" s="127"/>
    </row>
    <row r="32" spans="1:9" ht="15" customHeight="1" thickBot="1" x14ac:dyDescent="0.25">
      <c r="A32" s="915"/>
      <c r="B32" s="916"/>
      <c r="C32" s="916"/>
      <c r="D32" s="917"/>
      <c r="F32" s="126" t="s">
        <v>230</v>
      </c>
      <c r="G32" s="192">
        <v>0.9</v>
      </c>
      <c r="H32" s="134"/>
      <c r="I32" s="127" t="s">
        <v>231</v>
      </c>
    </row>
    <row r="33" spans="1:9" ht="15" customHeight="1" x14ac:dyDescent="0.2">
      <c r="A33" s="122" t="s">
        <v>165</v>
      </c>
      <c r="B33" s="128">
        <v>9</v>
      </c>
      <c r="C33" s="200" t="s">
        <v>166</v>
      </c>
      <c r="D33" s="220">
        <f>B33*365</f>
        <v>3285</v>
      </c>
      <c r="F33" s="126" t="s">
        <v>195</v>
      </c>
      <c r="G33" s="192">
        <v>1</v>
      </c>
      <c r="H33" s="134"/>
      <c r="I33" s="127" t="s">
        <v>251</v>
      </c>
    </row>
    <row r="34" spans="1:9" ht="15" customHeight="1" x14ac:dyDescent="0.2">
      <c r="A34" s="126"/>
      <c r="D34" s="127"/>
      <c r="F34" s="169" t="s">
        <v>202</v>
      </c>
      <c r="G34" s="192">
        <v>12.6</v>
      </c>
      <c r="H34" s="134"/>
      <c r="I34" s="127" t="s">
        <v>181</v>
      </c>
    </row>
    <row r="35" spans="1:9" ht="15" customHeight="1" x14ac:dyDescent="0.2">
      <c r="A35" s="221"/>
      <c r="B35" s="222" t="s">
        <v>132</v>
      </c>
      <c r="C35" s="222" t="s">
        <v>169</v>
      </c>
      <c r="D35" s="132" t="s">
        <v>170</v>
      </c>
      <c r="F35" s="173" t="s">
        <v>474</v>
      </c>
      <c r="G35" s="192">
        <v>1</v>
      </c>
      <c r="H35" s="134"/>
      <c r="I35" s="127" t="s">
        <v>181</v>
      </c>
    </row>
    <row r="36" spans="1:9" ht="15" customHeight="1" x14ac:dyDescent="0.2">
      <c r="A36" s="126" t="s">
        <v>172</v>
      </c>
      <c r="C36" s="277">
        <v>1.75</v>
      </c>
      <c r="D36" s="135">
        <v>118542</v>
      </c>
      <c r="E36" s="331"/>
      <c r="F36" s="173" t="s">
        <v>473</v>
      </c>
      <c r="G36" s="192">
        <f>G34*H11</f>
        <v>1.89</v>
      </c>
      <c r="H36" s="134"/>
      <c r="I36" s="127" t="s">
        <v>181</v>
      </c>
    </row>
    <row r="37" spans="1:9" ht="15" customHeight="1" x14ac:dyDescent="0.2">
      <c r="A37" s="126" t="s">
        <v>177</v>
      </c>
      <c r="C37" s="218">
        <v>5.69</v>
      </c>
      <c r="D37" s="135">
        <v>382830</v>
      </c>
      <c r="E37" s="285"/>
      <c r="F37" s="126"/>
      <c r="H37" s="134"/>
      <c r="I37" s="127"/>
    </row>
    <row r="38" spans="1:9" ht="15" customHeight="1" x14ac:dyDescent="0.2">
      <c r="A38" s="137" t="s">
        <v>220</v>
      </c>
      <c r="B38" s="273"/>
      <c r="C38" s="278">
        <v>16.89</v>
      </c>
      <c r="D38" s="275">
        <v>699664</v>
      </c>
      <c r="E38" s="163"/>
      <c r="F38" s="906" t="s">
        <v>206</v>
      </c>
      <c r="G38" s="907"/>
      <c r="H38" s="907"/>
      <c r="I38" s="908"/>
    </row>
    <row r="39" spans="1:9" ht="15" customHeight="1" x14ac:dyDescent="0.2">
      <c r="A39" s="153" t="s">
        <v>187</v>
      </c>
      <c r="B39" s="154"/>
      <c r="C39" s="193">
        <f>SUM(C36:C38)</f>
        <v>24.330000000000002</v>
      </c>
      <c r="D39" s="155">
        <f>SUM(D36:D38)</f>
        <v>1201036</v>
      </c>
      <c r="E39" s="163"/>
      <c r="F39" s="126" t="s">
        <v>192</v>
      </c>
      <c r="H39" s="268">
        <v>0.25390000000000001</v>
      </c>
      <c r="I39" s="127" t="s">
        <v>207</v>
      </c>
    </row>
    <row r="40" spans="1:9" ht="15" customHeight="1" x14ac:dyDescent="0.2">
      <c r="A40" s="122" t="s">
        <v>229</v>
      </c>
      <c r="C40" s="128" t="s">
        <v>189</v>
      </c>
      <c r="D40" s="127"/>
      <c r="F40" s="126"/>
      <c r="H40" s="268"/>
      <c r="I40" s="127"/>
    </row>
    <row r="41" spans="1:9" ht="15" customHeight="1" x14ac:dyDescent="0.2">
      <c r="A41" s="126" t="s">
        <v>192</v>
      </c>
      <c r="B41" s="156">
        <f>B11</f>
        <v>0.25390000000000001</v>
      </c>
      <c r="D41" s="135">
        <f>B41*D39</f>
        <v>304943.0404</v>
      </c>
      <c r="F41" s="126" t="str">
        <f>'[21]Master Data'!C38</f>
        <v>Programmatic expenses</v>
      </c>
      <c r="H41" s="244">
        <v>30.57</v>
      </c>
      <c r="I41" s="127" t="s">
        <v>208</v>
      </c>
    </row>
    <row r="42" spans="1:9" ht="15" customHeight="1" x14ac:dyDescent="0.2">
      <c r="A42" s="126" t="s">
        <v>483</v>
      </c>
      <c r="B42" s="156">
        <f>H48</f>
        <v>2.7812E-2</v>
      </c>
      <c r="D42" s="135">
        <f>(D39+D41)*B42</f>
        <v>41884.289071604799</v>
      </c>
      <c r="F42" s="126" t="str">
        <f>'[21]Master Data'!C39</f>
        <v>Additional Training Expense</v>
      </c>
      <c r="H42" s="244">
        <v>25</v>
      </c>
      <c r="I42" s="127" t="s">
        <v>209</v>
      </c>
    </row>
    <row r="43" spans="1:9" ht="15" customHeight="1" x14ac:dyDescent="0.2">
      <c r="A43" s="153" t="s">
        <v>194</v>
      </c>
      <c r="B43" s="154"/>
      <c r="C43" s="157"/>
      <c r="D43" s="155">
        <f>SUM(D39:D42)</f>
        <v>1547863.3294716049</v>
      </c>
      <c r="F43" s="126" t="s">
        <v>210</v>
      </c>
      <c r="H43" s="334">
        <v>0</v>
      </c>
      <c r="I43" s="127" t="s">
        <v>211</v>
      </c>
    </row>
    <row r="44" spans="1:9" ht="15" customHeight="1" x14ac:dyDescent="0.2">
      <c r="A44" s="126"/>
      <c r="D44" s="229"/>
      <c r="F44" s="179" t="s">
        <v>198</v>
      </c>
      <c r="G44" s="180"/>
      <c r="H44" s="244">
        <f>'[21]Master Data'!E40</f>
        <v>55.57</v>
      </c>
      <c r="I44" s="182"/>
    </row>
    <row r="45" spans="1:9" ht="15" customHeight="1" x14ac:dyDescent="0.2">
      <c r="A45" s="126" t="s">
        <v>216</v>
      </c>
      <c r="C45" s="158">
        <f>H41</f>
        <v>30.57</v>
      </c>
      <c r="D45" s="159">
        <f>C45*D33</f>
        <v>100422.45</v>
      </c>
      <c r="F45" s="126"/>
      <c r="H45" s="268"/>
      <c r="I45" s="127"/>
    </row>
    <row r="46" spans="1:9" ht="15" customHeight="1" x14ac:dyDescent="0.2">
      <c r="A46" s="126" t="s">
        <v>217</v>
      </c>
      <c r="C46" s="158">
        <f>H42</f>
        <v>25</v>
      </c>
      <c r="D46" s="159">
        <f>C46*D33</f>
        <v>82125</v>
      </c>
      <c r="F46" s="126" t="s">
        <v>199</v>
      </c>
      <c r="H46" s="268">
        <v>0.12</v>
      </c>
      <c r="I46" s="127" t="s">
        <v>213</v>
      </c>
    </row>
    <row r="47" spans="1:9" ht="15" customHeight="1" x14ac:dyDescent="0.2">
      <c r="A47" s="153" t="s">
        <v>198</v>
      </c>
      <c r="B47" s="154"/>
      <c r="C47" s="154"/>
      <c r="D47" s="155">
        <f>SUM(D43:D46)</f>
        <v>1730410.7794716049</v>
      </c>
      <c r="F47" s="126"/>
      <c r="H47" s="268"/>
      <c r="I47" s="127"/>
    </row>
    <row r="48" spans="1:9" ht="15" customHeight="1" thickBot="1" x14ac:dyDescent="0.25">
      <c r="A48" s="126" t="s">
        <v>199</v>
      </c>
      <c r="B48" s="156">
        <f>B18</f>
        <v>0.12</v>
      </c>
      <c r="D48" s="135">
        <f>B48*(D47-D42)</f>
        <v>202623.17884799998</v>
      </c>
      <c r="F48" s="144" t="s">
        <v>214</v>
      </c>
      <c r="G48" s="183"/>
      <c r="H48" s="270">
        <v>2.7812E-2</v>
      </c>
      <c r="I48" s="185" t="s">
        <v>215</v>
      </c>
    </row>
    <row r="49" spans="1:6" ht="15" customHeight="1" thickBot="1" x14ac:dyDescent="0.25">
      <c r="A49" s="313" t="s">
        <v>214</v>
      </c>
      <c r="B49" s="235">
        <f>H48</f>
        <v>2.7812E-2</v>
      </c>
      <c r="C49" s="161"/>
      <c r="D49" s="162">
        <f>(D45+D46)*B49</f>
        <v>5077.0096794000001</v>
      </c>
      <c r="F49" s="205"/>
    </row>
    <row r="50" spans="1:6" ht="15" customHeight="1" thickTop="1" x14ac:dyDescent="0.2">
      <c r="A50" s="122" t="s">
        <v>485</v>
      </c>
      <c r="B50" s="156"/>
      <c r="D50" s="284">
        <f>SUM(D47:D49)-0.5</f>
        <v>1938110.4679990048</v>
      </c>
    </row>
    <row r="51" spans="1:6" ht="15" customHeight="1" x14ac:dyDescent="0.2">
      <c r="A51" s="126"/>
      <c r="D51" s="166" t="s">
        <v>201</v>
      </c>
    </row>
    <row r="52" spans="1:6" ht="15" customHeight="1" thickBot="1" x14ac:dyDescent="0.25">
      <c r="A52" s="126"/>
      <c r="B52" s="291" t="s">
        <v>225</v>
      </c>
      <c r="C52" s="244"/>
      <c r="D52" s="315">
        <f>D50/D33</f>
        <v>589.98796590532868</v>
      </c>
    </row>
    <row r="53" spans="1:6" ht="15" customHeight="1" thickBot="1" x14ac:dyDescent="0.25">
      <c r="A53" s="272" t="s">
        <v>234</v>
      </c>
      <c r="B53" s="252">
        <v>0.8</v>
      </c>
      <c r="C53" s="316"/>
      <c r="D53" s="317">
        <f>D52/B53</f>
        <v>737.48495738166082</v>
      </c>
    </row>
    <row r="54" spans="1:6" ht="15" customHeight="1" thickBot="1" x14ac:dyDescent="0.25">
      <c r="A54" s="230" t="s">
        <v>246</v>
      </c>
      <c r="B54" s="236">
        <v>0.9</v>
      </c>
      <c r="C54" s="319"/>
      <c r="D54" s="232">
        <f>D52/B54</f>
        <v>655.54218433925405</v>
      </c>
    </row>
    <row r="55" spans="1:6" ht="15" customHeight="1" x14ac:dyDescent="0.2">
      <c r="A55" s="296"/>
      <c r="B55" s="273"/>
      <c r="C55" s="298"/>
      <c r="D55" s="320"/>
    </row>
    <row r="56" spans="1:6" ht="15" customHeight="1" x14ac:dyDescent="0.2"/>
    <row r="57" spans="1:6" ht="15" customHeight="1" x14ac:dyDescent="0.2">
      <c r="A57" s="176" t="s">
        <v>475</v>
      </c>
    </row>
    <row r="58" spans="1:6" ht="15" customHeight="1" x14ac:dyDescent="0.2">
      <c r="D58" s="321"/>
    </row>
    <row r="59" spans="1:6" ht="15" customHeight="1" x14ac:dyDescent="0.2"/>
    <row r="60" spans="1:6" ht="15" customHeight="1" x14ac:dyDescent="0.2"/>
    <row r="61" spans="1:6" ht="15" customHeight="1" x14ac:dyDescent="0.2"/>
    <row r="62" spans="1:6" ht="15" customHeight="1" x14ac:dyDescent="0.2"/>
    <row r="63" spans="1:6" ht="15" customHeight="1" x14ac:dyDescent="0.2"/>
    <row r="64" spans="1:6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spans="5:5" ht="15" customHeight="1" x14ac:dyDescent="0.2">
      <c r="E81" s="163" t="e">
        <f>(D53-D58)/D58</f>
        <v>#DIV/0!</v>
      </c>
    </row>
    <row r="82" spans="5:5" ht="15" customHeight="1" x14ac:dyDescent="0.2">
      <c r="E82" s="163" t="e">
        <f>(D54-D58)/D58</f>
        <v>#DIV/0!</v>
      </c>
    </row>
    <row r="83" spans="5:5" ht="15" customHeight="1" x14ac:dyDescent="0.2"/>
    <row r="84" spans="5:5" ht="15" customHeight="1" x14ac:dyDescent="0.2"/>
    <row r="85" spans="5:5" ht="15" customHeight="1" x14ac:dyDescent="0.2"/>
    <row r="86" spans="5:5" ht="15" customHeight="1" x14ac:dyDescent="0.2"/>
    <row r="87" spans="5:5" ht="15" customHeight="1" x14ac:dyDescent="0.2"/>
    <row r="88" spans="5:5" ht="13.35" customHeight="1" x14ac:dyDescent="0.2"/>
    <row r="89" spans="5:5" ht="15" customHeight="1" x14ac:dyDescent="0.2"/>
    <row r="94" spans="5:5" ht="12.75" customHeight="1" x14ac:dyDescent="0.2"/>
  </sheetData>
  <mergeCells count="9">
    <mergeCell ref="A30:D30"/>
    <mergeCell ref="A31:D32"/>
    <mergeCell ref="F38:I38"/>
    <mergeCell ref="A1:D1"/>
    <mergeCell ref="A2:D3"/>
    <mergeCell ref="F2:I2"/>
    <mergeCell ref="G4:H4"/>
    <mergeCell ref="F15:I15"/>
    <mergeCell ref="F16:I16"/>
  </mergeCells>
  <pageMargins left="0.7" right="0.7" top="0.75" bottom="0.75" header="0.3" footer="0.3"/>
  <pageSetup scale="78" fitToHeight="0" orientation="portrait" r:id="rId1"/>
  <headerFooter>
    <oddFooter>&amp;R2016-04-12
&amp;A
Caring Together rate review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62F9-DAC6-4E22-9FB8-4FD7275B29F4}">
  <sheetPr>
    <pageSetUpPr fitToPage="1"/>
  </sheetPr>
  <dimension ref="A1:J108"/>
  <sheetViews>
    <sheetView zoomScaleNormal="100" zoomScaleSheetLayoutView="80" workbookViewId="0">
      <selection activeCell="I8" sqref="I8"/>
    </sheetView>
  </sheetViews>
  <sheetFormatPr defaultColWidth="19.425781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19.42578125" style="120"/>
    <col min="6" max="6" width="29" style="120" customWidth="1"/>
    <col min="7" max="7" width="17.42578125" style="120" customWidth="1"/>
    <col min="8" max="8" width="12.28515625" style="120" customWidth="1"/>
    <col min="9" max="9" width="53.140625" style="120" customWidth="1"/>
    <col min="10" max="16384" width="19.42578125" style="120"/>
  </cols>
  <sheetData>
    <row r="1" spans="1:10" ht="13.5" customHeight="1" thickBot="1" x14ac:dyDescent="0.25">
      <c r="A1" s="912" t="s">
        <v>264</v>
      </c>
      <c r="B1" s="913"/>
      <c r="C1" s="913"/>
      <c r="D1" s="914"/>
      <c r="F1" s="921" t="s">
        <v>164</v>
      </c>
      <c r="G1" s="921"/>
      <c r="H1" s="921"/>
      <c r="I1" s="921"/>
    </row>
    <row r="2" spans="1:10" ht="13.5" thickBot="1" x14ac:dyDescent="0.25">
      <c r="A2" s="915"/>
      <c r="B2" s="916"/>
      <c r="C2" s="916"/>
      <c r="D2" s="917"/>
    </row>
    <row r="3" spans="1:10" ht="13.5" thickBot="1" x14ac:dyDescent="0.25">
      <c r="A3" s="122" t="s">
        <v>165</v>
      </c>
      <c r="B3" s="128">
        <v>12</v>
      </c>
      <c r="C3" s="200" t="s">
        <v>166</v>
      </c>
      <c r="D3" s="220">
        <f>B3*365</f>
        <v>4380</v>
      </c>
      <c r="E3" s="294"/>
      <c r="F3" s="124" t="s">
        <v>167</v>
      </c>
      <c r="G3" s="922" t="s">
        <v>168</v>
      </c>
      <c r="H3" s="922"/>
      <c r="I3" s="125"/>
    </row>
    <row r="4" spans="1:10" ht="13.5" thickBot="1" x14ac:dyDescent="0.25">
      <c r="A4" s="174"/>
      <c r="B4" s="175"/>
      <c r="C4" s="175" t="s">
        <v>169</v>
      </c>
      <c r="D4" s="208" t="s">
        <v>170</v>
      </c>
      <c r="E4" s="294"/>
      <c r="F4" s="122"/>
      <c r="G4" s="128" t="s">
        <v>156</v>
      </c>
      <c r="H4" s="129" t="s">
        <v>157</v>
      </c>
      <c r="I4" s="130"/>
    </row>
    <row r="5" spans="1:10" ht="15" customHeight="1" x14ac:dyDescent="0.2">
      <c r="A5" s="126" t="s">
        <v>172</v>
      </c>
      <c r="C5" s="277">
        <v>1</v>
      </c>
      <c r="D5" s="135">
        <v>72975</v>
      </c>
      <c r="F5" s="126" t="s">
        <v>171</v>
      </c>
      <c r="G5" s="121">
        <v>15</v>
      </c>
      <c r="H5" s="121">
        <f>G5*8</f>
        <v>120</v>
      </c>
      <c r="I5" s="130"/>
    </row>
    <row r="6" spans="1:10" ht="15" customHeight="1" x14ac:dyDescent="0.2">
      <c r="A6" s="126" t="s">
        <v>177</v>
      </c>
      <c r="C6" s="218">
        <v>0.95</v>
      </c>
      <c r="D6" s="135">
        <v>70012</v>
      </c>
      <c r="F6" s="126" t="s">
        <v>173</v>
      </c>
      <c r="G6" s="121">
        <v>8</v>
      </c>
      <c r="H6" s="121">
        <f>G6*8</f>
        <v>64</v>
      </c>
      <c r="I6" s="130"/>
    </row>
    <row r="7" spans="1:10" ht="15" customHeight="1" x14ac:dyDescent="0.2">
      <c r="A7" s="137" t="s">
        <v>220</v>
      </c>
      <c r="B7" s="273"/>
      <c r="C7" s="278">
        <v>15.81</v>
      </c>
      <c r="D7" s="275">
        <v>654190</v>
      </c>
      <c r="F7" s="126" t="s">
        <v>174</v>
      </c>
      <c r="G7" s="121">
        <v>11</v>
      </c>
      <c r="H7" s="121">
        <f>G7*8</f>
        <v>88</v>
      </c>
      <c r="I7" s="136" t="s">
        <v>493</v>
      </c>
    </row>
    <row r="8" spans="1:10" ht="15" customHeight="1" x14ac:dyDescent="0.2">
      <c r="A8" s="153" t="s">
        <v>187</v>
      </c>
      <c r="B8" s="154"/>
      <c r="C8" s="193">
        <f>SUM(C5:C7)</f>
        <v>17.760000000000002</v>
      </c>
      <c r="D8" s="155">
        <f>SUM(D5:D7)</f>
        <v>797177</v>
      </c>
      <c r="F8" s="137" t="s">
        <v>176</v>
      </c>
      <c r="G8" s="138">
        <v>5</v>
      </c>
      <c r="H8" s="138">
        <f>G8*8</f>
        <v>40</v>
      </c>
      <c r="I8" s="139"/>
      <c r="J8" s="120" t="s">
        <v>262</v>
      </c>
    </row>
    <row r="9" spans="1:10" ht="15" customHeight="1" x14ac:dyDescent="0.2">
      <c r="A9" s="122" t="s">
        <v>229</v>
      </c>
      <c r="C9" s="200"/>
      <c r="D9" s="127"/>
      <c r="E9" s="121"/>
      <c r="F9" s="126"/>
      <c r="G9" s="141" t="s">
        <v>161</v>
      </c>
      <c r="H9" s="121">
        <f>SUM(H5:H8)</f>
        <v>312</v>
      </c>
      <c r="I9" s="142"/>
    </row>
    <row r="10" spans="1:10" ht="15" customHeight="1" thickBot="1" x14ac:dyDescent="0.25">
      <c r="A10" s="126" t="s">
        <v>192</v>
      </c>
      <c r="B10" s="156">
        <f>H38</f>
        <v>0.25390000000000001</v>
      </c>
      <c r="D10" s="135">
        <f>B10*D8</f>
        <v>202403.2403</v>
      </c>
      <c r="E10" s="121"/>
      <c r="F10" s="144"/>
      <c r="G10" s="145" t="s">
        <v>178</v>
      </c>
      <c r="H10" s="280">
        <f>H9/(52*40)</f>
        <v>0.15</v>
      </c>
      <c r="I10" s="292"/>
    </row>
    <row r="11" spans="1:10" ht="15" customHeight="1" x14ac:dyDescent="0.2">
      <c r="A11" s="126" t="s">
        <v>483</v>
      </c>
      <c r="B11" s="156">
        <f>H47</f>
        <v>2.7812E-2</v>
      </c>
      <c r="D11" s="135">
        <f>(D8+D10)*B11</f>
        <v>27800.325643223598</v>
      </c>
      <c r="E11" s="121"/>
      <c r="G11" s="141"/>
      <c r="H11" s="282"/>
      <c r="I11" s="283"/>
    </row>
    <row r="12" spans="1:10" ht="15" customHeight="1" x14ac:dyDescent="0.2">
      <c r="A12" s="153" t="s">
        <v>194</v>
      </c>
      <c r="B12" s="154"/>
      <c r="C12" s="157">
        <f>D12/D3</f>
        <v>234.56177304639806</v>
      </c>
      <c r="D12" s="155">
        <f>SUM(D8:D11)</f>
        <v>1027380.5659432235</v>
      </c>
      <c r="E12" s="121"/>
      <c r="F12" s="120" t="s">
        <v>265</v>
      </c>
      <c r="G12" s="141"/>
      <c r="H12" s="282"/>
      <c r="I12" s="283"/>
    </row>
    <row r="13" spans="1:10" ht="15" customHeight="1" thickBot="1" x14ac:dyDescent="0.25">
      <c r="A13" s="126" t="s">
        <v>216</v>
      </c>
      <c r="C13" s="158">
        <f>H40</f>
        <v>30.57</v>
      </c>
      <c r="D13" s="159">
        <f>C13*D3</f>
        <v>133896.6</v>
      </c>
      <c r="E13" s="121"/>
    </row>
    <row r="14" spans="1:10" ht="15" customHeight="1" thickBot="1" x14ac:dyDescent="0.35">
      <c r="A14" s="126" t="str">
        <f>F41</f>
        <v>Programmatic expenses</v>
      </c>
      <c r="C14" s="158">
        <f>H41</f>
        <v>25</v>
      </c>
      <c r="D14" s="159">
        <f>C14*D3</f>
        <v>109500</v>
      </c>
      <c r="E14" s="121"/>
      <c r="F14" s="923" t="s">
        <v>179</v>
      </c>
      <c r="G14" s="924"/>
      <c r="H14" s="924"/>
      <c r="I14" s="925"/>
    </row>
    <row r="15" spans="1:10" ht="15" customHeight="1" x14ac:dyDescent="0.2">
      <c r="A15" s="126" t="s">
        <v>210</v>
      </c>
      <c r="C15" s="158">
        <f>H42</f>
        <v>1.25</v>
      </c>
      <c r="D15" s="159">
        <f>C15*D3</f>
        <v>5475</v>
      </c>
      <c r="E15" s="121"/>
      <c r="F15" s="932"/>
      <c r="G15" s="933"/>
      <c r="H15" s="933"/>
      <c r="I15" s="934"/>
    </row>
    <row r="16" spans="1:10" ht="15" customHeight="1" x14ac:dyDescent="0.2">
      <c r="A16" s="153" t="s">
        <v>198</v>
      </c>
      <c r="B16" s="154"/>
      <c r="C16" s="154"/>
      <c r="D16" s="155">
        <f>SUM(D12:D15)</f>
        <v>1276252.1659432235</v>
      </c>
      <c r="E16" s="121"/>
      <c r="F16" s="122" t="s">
        <v>172</v>
      </c>
      <c r="H16" s="134"/>
      <c r="I16" s="127"/>
    </row>
    <row r="17" spans="1:9" ht="15" customHeight="1" x14ac:dyDescent="0.2">
      <c r="A17" s="126" t="s">
        <v>199</v>
      </c>
      <c r="B17" s="156">
        <f>H45</f>
        <v>0.12</v>
      </c>
      <c r="D17" s="135">
        <f>B17*(D16-D11)</f>
        <v>149814.22083599996</v>
      </c>
      <c r="E17" s="121"/>
      <c r="F17" s="122"/>
      <c r="H17" s="134"/>
      <c r="I17" s="127"/>
    </row>
    <row r="18" spans="1:9" ht="15" customHeight="1" thickBot="1" x14ac:dyDescent="0.25">
      <c r="A18" s="313" t="s">
        <v>214</v>
      </c>
      <c r="B18" s="235">
        <f>H47</f>
        <v>2.7812E-2</v>
      </c>
      <c r="C18" s="161"/>
      <c r="D18" s="162">
        <f>(D13+D14+D15)*B18</f>
        <v>6921.6169392000002</v>
      </c>
      <c r="E18" s="121"/>
      <c r="F18" s="122"/>
      <c r="G18" s="120" t="s">
        <v>226</v>
      </c>
      <c r="H18" s="134"/>
      <c r="I18" s="127"/>
    </row>
    <row r="19" spans="1:9" ht="15" customHeight="1" thickTop="1" x14ac:dyDescent="0.2">
      <c r="A19" s="122" t="s">
        <v>485</v>
      </c>
      <c r="B19" s="156"/>
      <c r="D19" s="284">
        <f>SUM(D16:D18)-0.5</f>
        <v>1432987.5037184237</v>
      </c>
      <c r="E19" s="121"/>
      <c r="F19" s="126" t="s">
        <v>180</v>
      </c>
      <c r="G19" s="277">
        <v>1</v>
      </c>
      <c r="H19" s="134"/>
      <c r="I19" s="127" t="s">
        <v>181</v>
      </c>
    </row>
    <row r="20" spans="1:9" ht="15" customHeight="1" x14ac:dyDescent="0.2">
      <c r="A20" s="126"/>
      <c r="D20" s="166" t="s">
        <v>201</v>
      </c>
      <c r="E20" s="121"/>
      <c r="F20" s="126"/>
      <c r="G20" s="277"/>
      <c r="H20" s="134"/>
      <c r="I20" s="127"/>
    </row>
    <row r="21" spans="1:9" ht="15" customHeight="1" thickBot="1" x14ac:dyDescent="0.25">
      <c r="A21" s="126"/>
      <c r="B21" s="291" t="s">
        <v>225</v>
      </c>
      <c r="C21" s="244"/>
      <c r="D21" s="315">
        <f>D19/D3</f>
        <v>327.16609673936614</v>
      </c>
      <c r="E21" s="121"/>
      <c r="F21" s="122" t="s">
        <v>177</v>
      </c>
      <c r="G21" s="277"/>
      <c r="H21" s="134"/>
      <c r="I21" s="127"/>
    </row>
    <row r="22" spans="1:9" ht="15" customHeight="1" thickBot="1" x14ac:dyDescent="0.25">
      <c r="A22" s="170" t="s">
        <v>240</v>
      </c>
      <c r="B22" s="252">
        <v>0.8</v>
      </c>
      <c r="C22" s="316"/>
      <c r="D22" s="317">
        <f>D21/B22</f>
        <v>408.95762092420767</v>
      </c>
      <c r="E22" s="121"/>
      <c r="F22" s="126" t="s">
        <v>184</v>
      </c>
      <c r="G22" s="277">
        <v>0.25</v>
      </c>
      <c r="H22" s="134"/>
      <c r="I22" s="127" t="s">
        <v>181</v>
      </c>
    </row>
    <row r="23" spans="1:9" ht="15" customHeight="1" thickBot="1" x14ac:dyDescent="0.25">
      <c r="A23" s="230" t="s">
        <v>241</v>
      </c>
      <c r="B23" s="236">
        <v>0.9</v>
      </c>
      <c r="C23" s="319"/>
      <c r="D23" s="232">
        <f>D21/B23</f>
        <v>363.51788526596238</v>
      </c>
      <c r="E23" s="121"/>
      <c r="F23" s="126" t="s">
        <v>248</v>
      </c>
      <c r="G23" s="277">
        <v>0.45</v>
      </c>
      <c r="H23" s="134"/>
      <c r="I23" s="127" t="s">
        <v>181</v>
      </c>
    </row>
    <row r="24" spans="1:9" ht="15" customHeight="1" thickBot="1" x14ac:dyDescent="0.25">
      <c r="A24" s="144"/>
      <c r="B24" s="183"/>
      <c r="C24" s="332"/>
      <c r="D24" s="333"/>
      <c r="E24" s="121"/>
      <c r="F24" s="126" t="s">
        <v>249</v>
      </c>
      <c r="G24" s="277">
        <v>0.25</v>
      </c>
      <c r="H24" s="134"/>
      <c r="I24" s="127" t="s">
        <v>191</v>
      </c>
    </row>
    <row r="25" spans="1:9" ht="15" customHeight="1" x14ac:dyDescent="0.25">
      <c r="F25" s="226"/>
      <c r="G25" s="817"/>
      <c r="H25" s="227"/>
      <c r="I25" s="228"/>
    </row>
    <row r="26" spans="1:9" ht="15" customHeight="1" x14ac:dyDescent="0.2">
      <c r="D26" s="321"/>
      <c r="F26" s="122" t="s">
        <v>121</v>
      </c>
      <c r="G26" s="277"/>
      <c r="H26" s="134"/>
      <c r="I26" s="127"/>
    </row>
    <row r="27" spans="1:9" ht="15" customHeight="1" x14ac:dyDescent="0.2">
      <c r="F27" s="126" t="s">
        <v>476</v>
      </c>
      <c r="G27" s="277">
        <v>1.2</v>
      </c>
      <c r="H27" s="134"/>
      <c r="I27" s="127" t="s">
        <v>231</v>
      </c>
    </row>
    <row r="28" spans="1:9" ht="15" customHeight="1" x14ac:dyDescent="0.2">
      <c r="F28" s="152" t="s">
        <v>182</v>
      </c>
      <c r="G28" s="277">
        <v>1</v>
      </c>
      <c r="H28" s="134"/>
      <c r="I28" s="127" t="s">
        <v>251</v>
      </c>
    </row>
    <row r="29" spans="1:9" ht="15" customHeight="1" x14ac:dyDescent="0.2">
      <c r="F29" s="152" t="s">
        <v>197</v>
      </c>
      <c r="G29" s="277">
        <v>0.45</v>
      </c>
      <c r="H29" s="134"/>
      <c r="I29" s="127" t="s">
        <v>181</v>
      </c>
    </row>
    <row r="30" spans="1:9" ht="15" customHeight="1" x14ac:dyDescent="0.2">
      <c r="F30" s="169" t="s">
        <v>202</v>
      </c>
      <c r="G30" s="277">
        <v>9.8000000000000007</v>
      </c>
      <c r="H30" s="134"/>
      <c r="I30" s="127" t="s">
        <v>181</v>
      </c>
    </row>
    <row r="31" spans="1:9" ht="15" customHeight="1" x14ac:dyDescent="0.2">
      <c r="F31" s="173" t="s">
        <v>203</v>
      </c>
      <c r="G31" s="277">
        <v>1</v>
      </c>
      <c r="H31" s="134"/>
      <c r="I31" s="127" t="s">
        <v>181</v>
      </c>
    </row>
    <row r="32" spans="1:9" ht="15" customHeight="1" x14ac:dyDescent="0.2">
      <c r="F32" s="152" t="s">
        <v>204</v>
      </c>
      <c r="G32" s="277">
        <v>0.75</v>
      </c>
      <c r="H32" s="134"/>
      <c r="I32" s="127" t="s">
        <v>181</v>
      </c>
    </row>
    <row r="33" spans="5:9" ht="15" customHeight="1" x14ac:dyDescent="0.2">
      <c r="F33" s="152" t="s">
        <v>205</v>
      </c>
      <c r="G33" s="277">
        <v>7.4999999999999997E-2</v>
      </c>
      <c r="H33" s="134"/>
      <c r="I33" s="127" t="s">
        <v>181</v>
      </c>
    </row>
    <row r="34" spans="5:9" ht="15" customHeight="1" x14ac:dyDescent="0.2">
      <c r="F34" s="126" t="s">
        <v>468</v>
      </c>
      <c r="G34" s="277">
        <f>(G30+G29)*H10</f>
        <v>1.5374999999999999</v>
      </c>
      <c r="H34" s="134"/>
      <c r="I34" s="127" t="s">
        <v>181</v>
      </c>
    </row>
    <row r="35" spans="5:9" ht="15" customHeight="1" x14ac:dyDescent="0.2">
      <c r="G35" s="277"/>
      <c r="H35" s="134"/>
      <c r="I35" s="127"/>
    </row>
    <row r="36" spans="5:9" ht="15" customHeight="1" x14ac:dyDescent="0.2">
      <c r="F36" s="126"/>
      <c r="H36" s="134"/>
      <c r="I36" s="127"/>
    </row>
    <row r="37" spans="5:9" ht="15" customHeight="1" x14ac:dyDescent="0.2">
      <c r="F37" s="906" t="s">
        <v>206</v>
      </c>
      <c r="G37" s="907"/>
      <c r="H37" s="907"/>
      <c r="I37" s="908"/>
    </row>
    <row r="38" spans="5:9" x14ac:dyDescent="0.2">
      <c r="F38" s="126" t="s">
        <v>192</v>
      </c>
      <c r="H38" s="268">
        <v>0.25390000000000001</v>
      </c>
      <c r="I38" s="127" t="s">
        <v>207</v>
      </c>
    </row>
    <row r="39" spans="5:9" x14ac:dyDescent="0.2">
      <c r="E39" s="285"/>
      <c r="F39" s="126"/>
      <c r="H39" s="268"/>
      <c r="I39" s="127"/>
    </row>
    <row r="40" spans="5:9" x14ac:dyDescent="0.2">
      <c r="E40" s="285"/>
      <c r="F40" s="126" t="str">
        <f>'[21]Master Data'!C37</f>
        <v>Occupancy</v>
      </c>
      <c r="H40" s="244">
        <v>30.57</v>
      </c>
      <c r="I40" s="127" t="s">
        <v>208</v>
      </c>
    </row>
    <row r="41" spans="5:9" x14ac:dyDescent="0.2">
      <c r="F41" s="126" t="str">
        <f>'[21]Master Data'!C38</f>
        <v>Programmatic expenses</v>
      </c>
      <c r="H41" s="244">
        <v>25</v>
      </c>
      <c r="I41" s="127" t="s">
        <v>209</v>
      </c>
    </row>
    <row r="42" spans="5:9" ht="13.35" customHeight="1" x14ac:dyDescent="0.2">
      <c r="F42" s="126" t="s">
        <v>210</v>
      </c>
      <c r="H42" s="334">
        <v>1.25</v>
      </c>
      <c r="I42" s="127" t="s">
        <v>211</v>
      </c>
    </row>
    <row r="43" spans="5:9" x14ac:dyDescent="0.2">
      <c r="F43" s="179" t="s">
        <v>198</v>
      </c>
      <c r="G43" s="180"/>
      <c r="H43" s="244">
        <f>SUM(H40:H42)</f>
        <v>56.82</v>
      </c>
      <c r="I43" s="182"/>
    </row>
    <row r="44" spans="5:9" x14ac:dyDescent="0.2">
      <c r="F44" s="126"/>
      <c r="H44" s="268"/>
      <c r="I44" s="127"/>
    </row>
    <row r="45" spans="5:9" x14ac:dyDescent="0.2">
      <c r="F45" s="126" t="s">
        <v>199</v>
      </c>
      <c r="H45" s="268">
        <v>0.12</v>
      </c>
      <c r="I45" s="127" t="s">
        <v>213</v>
      </c>
    </row>
    <row r="46" spans="5:9" x14ac:dyDescent="0.2">
      <c r="F46" s="126"/>
      <c r="H46" s="268"/>
      <c r="I46" s="127"/>
    </row>
    <row r="47" spans="5:9" ht="12.75" customHeight="1" thickBot="1" x14ac:dyDescent="0.25">
      <c r="F47" s="144" t="s">
        <v>214</v>
      </c>
      <c r="G47" s="183"/>
      <c r="H47" s="270">
        <v>2.7812E-2</v>
      </c>
      <c r="I47" s="185" t="s">
        <v>215</v>
      </c>
    </row>
    <row r="63" spans="6:6" x14ac:dyDescent="0.2">
      <c r="F63" s="290"/>
    </row>
    <row r="65" spans="6:6" x14ac:dyDescent="0.2">
      <c r="F65" s="205"/>
    </row>
    <row r="66" spans="6:6" ht="13.35" customHeight="1" x14ac:dyDescent="0.2"/>
    <row r="67" spans="6:6" ht="15" customHeight="1" x14ac:dyDescent="0.2"/>
    <row r="72" spans="6:6" ht="12.75" customHeight="1" x14ac:dyDescent="0.2"/>
    <row r="102" ht="13.35" customHeight="1" x14ac:dyDescent="0.2"/>
    <row r="103" ht="15" customHeight="1" x14ac:dyDescent="0.2"/>
    <row r="108" ht="12.75" customHeight="1" x14ac:dyDescent="0.2"/>
  </sheetData>
  <mergeCells count="6">
    <mergeCell ref="F37:I37"/>
    <mergeCell ref="A1:D2"/>
    <mergeCell ref="F1:I1"/>
    <mergeCell ref="G3:H3"/>
    <mergeCell ref="F14:I14"/>
    <mergeCell ref="F15:I15"/>
  </mergeCells>
  <pageMargins left="0.7" right="0.7" top="0.75" bottom="0.75" header="0.3" footer="0.3"/>
  <pageSetup scale="34" fitToHeight="0" orientation="portrait" r:id="rId1"/>
  <headerFooter>
    <oddFooter>&amp;R2016-04-12
&amp;A
Caring Together rate review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7722-8E6F-4C44-B8DA-1CBEDE36E888}">
  <sheetPr>
    <pageSetUpPr fitToPage="1"/>
  </sheetPr>
  <dimension ref="A1:J56"/>
  <sheetViews>
    <sheetView topLeftCell="A16" zoomScale="110" zoomScaleNormal="110" zoomScaleSheetLayoutView="80" workbookViewId="0">
      <selection activeCell="J8" sqref="J8"/>
    </sheetView>
  </sheetViews>
  <sheetFormatPr defaultColWidth="14.140625" defaultRowHeight="12.75" x14ac:dyDescent="0.2"/>
  <cols>
    <col min="1" max="1" width="2.85546875" style="120" customWidth="1"/>
    <col min="2" max="2" width="36.42578125" style="120" customWidth="1"/>
    <col min="3" max="3" width="12.85546875" style="120" customWidth="1"/>
    <col min="4" max="4" width="14.140625" style="120"/>
    <col min="5" max="5" width="18.85546875" style="120" customWidth="1"/>
    <col min="6" max="6" width="14.140625" style="121"/>
    <col min="7" max="7" width="27.5703125" style="120" customWidth="1"/>
    <col min="8" max="9" width="14.140625" style="120"/>
    <col min="10" max="10" width="53.42578125" style="120" customWidth="1"/>
    <col min="11" max="16384" width="14.140625" style="120"/>
  </cols>
  <sheetData>
    <row r="1" spans="1:10" ht="13.5" customHeight="1" thickBot="1" x14ac:dyDescent="0.25">
      <c r="B1" s="912" t="s">
        <v>266</v>
      </c>
      <c r="C1" s="913"/>
      <c r="D1" s="913"/>
      <c r="E1" s="914"/>
      <c r="G1" s="921" t="s">
        <v>164</v>
      </c>
      <c r="H1" s="921"/>
      <c r="I1" s="921"/>
      <c r="J1" s="921"/>
    </row>
    <row r="2" spans="1:10" ht="13.5" thickBot="1" x14ac:dyDescent="0.25">
      <c r="B2" s="915"/>
      <c r="C2" s="916"/>
      <c r="D2" s="916"/>
      <c r="E2" s="917"/>
    </row>
    <row r="3" spans="1:10" ht="15" customHeight="1" x14ac:dyDescent="0.2">
      <c r="B3" s="122" t="s">
        <v>165</v>
      </c>
      <c r="C3" s="128">
        <v>10</v>
      </c>
      <c r="D3" s="200" t="s">
        <v>166</v>
      </c>
      <c r="E3" s="220">
        <f>C3*365</f>
        <v>3650</v>
      </c>
      <c r="F3" s="279"/>
      <c r="G3" s="124" t="s">
        <v>167</v>
      </c>
      <c r="H3" s="922" t="s">
        <v>168</v>
      </c>
      <c r="I3" s="922"/>
      <c r="J3" s="125"/>
    </row>
    <row r="4" spans="1:10" ht="15" customHeight="1" x14ac:dyDescent="0.2">
      <c r="B4" s="221"/>
      <c r="C4" s="222"/>
      <c r="D4" s="222" t="s">
        <v>169</v>
      </c>
      <c r="E4" s="132" t="s">
        <v>170</v>
      </c>
      <c r="F4" s="279"/>
      <c r="G4" s="122"/>
      <c r="H4" s="128" t="s">
        <v>156</v>
      </c>
      <c r="I4" s="129" t="s">
        <v>157</v>
      </c>
      <c r="J4" s="130"/>
    </row>
    <row r="5" spans="1:10" ht="15" customHeight="1" x14ac:dyDescent="0.2">
      <c r="B5" s="126" t="s">
        <v>172</v>
      </c>
      <c r="D5" s="277">
        <v>1</v>
      </c>
      <c r="E5" s="135">
        <v>72975</v>
      </c>
      <c r="G5" s="126" t="s">
        <v>171</v>
      </c>
      <c r="H5" s="121">
        <v>15</v>
      </c>
      <c r="I5" s="121">
        <f>H5*8</f>
        <v>120</v>
      </c>
      <c r="J5" s="130"/>
    </row>
    <row r="6" spans="1:10" ht="15" customHeight="1" x14ac:dyDescent="0.2">
      <c r="A6" s="133"/>
      <c r="B6" s="126" t="s">
        <v>177</v>
      </c>
      <c r="D6" s="218">
        <v>2.0099999999999998</v>
      </c>
      <c r="E6" s="135">
        <v>113101</v>
      </c>
      <c r="G6" s="126" t="s">
        <v>173</v>
      </c>
      <c r="H6" s="121">
        <v>8</v>
      </c>
      <c r="I6" s="121">
        <f>H6*8</f>
        <v>64</v>
      </c>
      <c r="J6" s="130"/>
    </row>
    <row r="7" spans="1:10" ht="15" customHeight="1" x14ac:dyDescent="0.2">
      <c r="A7" s="133"/>
      <c r="B7" s="137" t="s">
        <v>220</v>
      </c>
      <c r="C7" s="273"/>
      <c r="D7" s="278">
        <v>10.41</v>
      </c>
      <c r="E7" s="275">
        <v>416424</v>
      </c>
      <c r="G7" s="126" t="s">
        <v>174</v>
      </c>
      <c r="H7" s="121">
        <v>11</v>
      </c>
      <c r="I7" s="121">
        <f>H7*8</f>
        <v>88</v>
      </c>
      <c r="J7" s="136" t="s">
        <v>493</v>
      </c>
    </row>
    <row r="8" spans="1:10" ht="15" customHeight="1" x14ac:dyDescent="0.2">
      <c r="A8" s="133"/>
      <c r="B8" s="153" t="s">
        <v>187</v>
      </c>
      <c r="C8" s="154"/>
      <c r="D8" s="193">
        <f>SUM(D5:D7)</f>
        <v>13.42</v>
      </c>
      <c r="E8" s="155">
        <f>SUM(E5:E7)</f>
        <v>602500</v>
      </c>
      <c r="G8" s="137" t="s">
        <v>176</v>
      </c>
      <c r="H8" s="138">
        <v>5</v>
      </c>
      <c r="I8" s="138">
        <f>H8*8</f>
        <v>40</v>
      </c>
      <c r="J8" s="139"/>
    </row>
    <row r="9" spans="1:10" ht="15" customHeight="1" x14ac:dyDescent="0.2">
      <c r="A9" s="133"/>
      <c r="B9" s="122" t="s">
        <v>229</v>
      </c>
      <c r="D9" s="128"/>
      <c r="E9" s="127"/>
      <c r="G9" s="126"/>
      <c r="H9" s="141" t="s">
        <v>161</v>
      </c>
      <c r="I9" s="121">
        <f>SUM(I5:I8)</f>
        <v>312</v>
      </c>
      <c r="J9" s="142"/>
    </row>
    <row r="10" spans="1:10" ht="15" customHeight="1" thickBot="1" x14ac:dyDescent="0.25">
      <c r="A10" s="128"/>
      <c r="B10" s="126" t="s">
        <v>192</v>
      </c>
      <c r="C10" s="156">
        <f>I37</f>
        <v>0.25390000000000001</v>
      </c>
      <c r="E10" s="135">
        <f>C10*E8</f>
        <v>152974.75</v>
      </c>
      <c r="G10" s="144"/>
      <c r="H10" s="145" t="s">
        <v>178</v>
      </c>
      <c r="I10" s="280">
        <f>I9/(52*40)</f>
        <v>0.15</v>
      </c>
      <c r="J10" s="292"/>
    </row>
    <row r="11" spans="1:10" ht="15" customHeight="1" x14ac:dyDescent="0.2">
      <c r="B11" s="126" t="s">
        <v>483</v>
      </c>
      <c r="C11" s="156">
        <f>I46</f>
        <v>2.7812E-2</v>
      </c>
      <c r="E11" s="135">
        <f>(E8+E10)*C11</f>
        <v>21011.263747000001</v>
      </c>
      <c r="H11" s="141"/>
      <c r="I11" s="282"/>
      <c r="J11" s="283"/>
    </row>
    <row r="12" spans="1:10" ht="15" customHeight="1" x14ac:dyDescent="0.2">
      <c r="B12" s="153" t="s">
        <v>194</v>
      </c>
      <c r="C12" s="154"/>
      <c r="D12" s="157"/>
      <c r="E12" s="155">
        <f>SUM(E8:E11)</f>
        <v>776486.01374700002</v>
      </c>
      <c r="G12" s="120" t="s">
        <v>265</v>
      </c>
      <c r="H12" s="141"/>
      <c r="I12" s="282"/>
      <c r="J12" s="283"/>
    </row>
    <row r="13" spans="1:10" ht="15" customHeight="1" thickBot="1" x14ac:dyDescent="0.25">
      <c r="B13" s="126"/>
      <c r="E13" s="229"/>
    </row>
    <row r="14" spans="1:10" ht="15" customHeight="1" thickBot="1" x14ac:dyDescent="0.35">
      <c r="B14" s="126" t="s">
        <v>216</v>
      </c>
      <c r="D14" s="158">
        <f>I39</f>
        <v>30.57</v>
      </c>
      <c r="E14" s="159">
        <f>D14*E3</f>
        <v>111580.5</v>
      </c>
      <c r="G14" s="923" t="s">
        <v>179</v>
      </c>
      <c r="H14" s="924"/>
      <c r="I14" s="924"/>
      <c r="J14" s="925"/>
    </row>
    <row r="15" spans="1:10" ht="15" customHeight="1" x14ac:dyDescent="0.2">
      <c r="B15" s="126" t="s">
        <v>217</v>
      </c>
      <c r="D15" s="158">
        <f>I40</f>
        <v>25</v>
      </c>
      <c r="E15" s="159">
        <f>D15*E3</f>
        <v>91250</v>
      </c>
      <c r="G15" s="932"/>
      <c r="H15" s="933"/>
      <c r="I15" s="933"/>
      <c r="J15" s="934"/>
    </row>
    <row r="16" spans="1:10" ht="15" customHeight="1" x14ac:dyDescent="0.2">
      <c r="B16" s="126" t="s">
        <v>210</v>
      </c>
      <c r="D16" s="158">
        <f>I41</f>
        <v>1.25</v>
      </c>
      <c r="E16" s="159">
        <f>D16*E3</f>
        <v>4562.5</v>
      </c>
      <c r="G16" s="122" t="s">
        <v>172</v>
      </c>
      <c r="I16" s="134"/>
      <c r="J16" s="127"/>
    </row>
    <row r="17" spans="2:10" ht="15" customHeight="1" x14ac:dyDescent="0.2">
      <c r="B17" s="153" t="s">
        <v>198</v>
      </c>
      <c r="C17" s="154"/>
      <c r="D17" s="154"/>
      <c r="E17" s="155">
        <f>SUM(E12:E16)</f>
        <v>983879.01374700002</v>
      </c>
      <c r="G17" s="122"/>
      <c r="I17" s="134"/>
      <c r="J17" s="127"/>
    </row>
    <row r="18" spans="2:10" ht="15" customHeight="1" x14ac:dyDescent="0.2">
      <c r="B18" s="126" t="s">
        <v>199</v>
      </c>
      <c r="C18" s="156">
        <f>I44</f>
        <v>0.12</v>
      </c>
      <c r="E18" s="135">
        <f>C18*(E17-E11)</f>
        <v>115544.12999999999</v>
      </c>
      <c r="G18" s="122"/>
      <c r="H18" s="120" t="s">
        <v>226</v>
      </c>
      <c r="I18" s="134"/>
      <c r="J18" s="127"/>
    </row>
    <row r="19" spans="2:10" ht="15" customHeight="1" thickBot="1" x14ac:dyDescent="0.25">
      <c r="B19" s="313" t="s">
        <v>214</v>
      </c>
      <c r="C19" s="235">
        <f>I46</f>
        <v>2.7812E-2</v>
      </c>
      <c r="D19" s="161"/>
      <c r="E19" s="162">
        <f>(E14+E15+E16)*C19</f>
        <v>5768.0141160000003</v>
      </c>
      <c r="G19" s="126" t="s">
        <v>180</v>
      </c>
      <c r="H19" s="192">
        <v>1</v>
      </c>
      <c r="I19" s="134"/>
      <c r="J19" s="127" t="s">
        <v>181</v>
      </c>
    </row>
    <row r="20" spans="2:10" ht="15" customHeight="1" thickTop="1" x14ac:dyDescent="0.2">
      <c r="B20" s="122" t="s">
        <v>485</v>
      </c>
      <c r="C20" s="156"/>
      <c r="E20" s="284">
        <f>SUM(E17:E19)-0.5</f>
        <v>1105190.6578629999</v>
      </c>
      <c r="G20" s="126"/>
      <c r="H20" s="192"/>
      <c r="I20" s="134"/>
      <c r="J20" s="127"/>
    </row>
    <row r="21" spans="2:10" ht="15" customHeight="1" x14ac:dyDescent="0.2">
      <c r="B21" s="126"/>
      <c r="E21" s="166" t="s">
        <v>201</v>
      </c>
      <c r="G21" s="122" t="s">
        <v>177</v>
      </c>
      <c r="H21" s="192"/>
      <c r="I21" s="134"/>
      <c r="J21" s="127"/>
    </row>
    <row r="22" spans="2:10" ht="15" customHeight="1" thickBot="1" x14ac:dyDescent="0.25">
      <c r="B22" s="126"/>
      <c r="C22" s="291" t="s">
        <v>225</v>
      </c>
      <c r="D22" s="244"/>
      <c r="E22" s="315">
        <f>E20/E3</f>
        <v>302.79196105835615</v>
      </c>
      <c r="G22" s="126" t="s">
        <v>184</v>
      </c>
      <c r="H22" s="192">
        <v>0.13</v>
      </c>
      <c r="I22" s="134"/>
      <c r="J22" s="127" t="s">
        <v>181</v>
      </c>
    </row>
    <row r="23" spans="2:10" ht="15" customHeight="1" thickBot="1" x14ac:dyDescent="0.25">
      <c r="B23" s="170" t="s">
        <v>240</v>
      </c>
      <c r="C23" s="252">
        <v>0.8</v>
      </c>
      <c r="D23" s="316"/>
      <c r="E23" s="317">
        <f>E22/C23</f>
        <v>378.48995132294516</v>
      </c>
      <c r="G23" s="126" t="s">
        <v>248</v>
      </c>
      <c r="H23" s="192">
        <v>0.25</v>
      </c>
      <c r="I23" s="134"/>
      <c r="J23" s="127" t="s">
        <v>181</v>
      </c>
    </row>
    <row r="24" spans="2:10" ht="13.5" thickBot="1" x14ac:dyDescent="0.25">
      <c r="B24" s="230" t="s">
        <v>241</v>
      </c>
      <c r="C24" s="236">
        <v>0.9</v>
      </c>
      <c r="D24" s="319"/>
      <c r="E24" s="232">
        <f>E22/C24</f>
        <v>336.43551228706241</v>
      </c>
      <c r="G24" s="126" t="s">
        <v>477</v>
      </c>
      <c r="H24" s="192">
        <v>1.5</v>
      </c>
      <c r="I24" s="134"/>
      <c r="J24" s="127" t="s">
        <v>181</v>
      </c>
    </row>
    <row r="25" spans="2:10" x14ac:dyDescent="0.2">
      <c r="B25" s="296"/>
      <c r="C25" s="273"/>
      <c r="D25" s="335"/>
      <c r="E25" s="336"/>
      <c r="G25" s="126" t="s">
        <v>249</v>
      </c>
      <c r="H25" s="192">
        <v>0.13</v>
      </c>
      <c r="I25" s="134"/>
      <c r="J25" s="127" t="s">
        <v>191</v>
      </c>
    </row>
    <row r="26" spans="2:10" ht="15" x14ac:dyDescent="0.25">
      <c r="G26" s="226"/>
      <c r="H26" s="192"/>
      <c r="I26" s="227"/>
      <c r="J26" s="228"/>
    </row>
    <row r="27" spans="2:10" x14ac:dyDescent="0.2">
      <c r="E27" s="321"/>
      <c r="G27" s="122" t="s">
        <v>121</v>
      </c>
      <c r="H27" s="192"/>
      <c r="I27" s="134"/>
      <c r="J27" s="127"/>
    </row>
    <row r="28" spans="2:10" x14ac:dyDescent="0.2">
      <c r="G28" s="152" t="s">
        <v>197</v>
      </c>
      <c r="H28" s="192">
        <v>0.45</v>
      </c>
      <c r="I28" s="134"/>
      <c r="J28" s="127" t="s">
        <v>181</v>
      </c>
    </row>
    <row r="29" spans="2:10" x14ac:dyDescent="0.2">
      <c r="G29" s="126" t="s">
        <v>253</v>
      </c>
      <c r="H29" s="192">
        <v>4.2</v>
      </c>
      <c r="I29" s="134"/>
      <c r="J29" s="127" t="s">
        <v>181</v>
      </c>
    </row>
    <row r="30" spans="2:10" x14ac:dyDescent="0.2">
      <c r="G30" s="169" t="s">
        <v>202</v>
      </c>
      <c r="H30" s="192">
        <v>3.8</v>
      </c>
      <c r="I30" s="134"/>
      <c r="J30" s="127" t="s">
        <v>181</v>
      </c>
    </row>
    <row r="31" spans="2:10" x14ac:dyDescent="0.2">
      <c r="G31" s="173" t="s">
        <v>203</v>
      </c>
      <c r="H31" s="192">
        <v>0.5</v>
      </c>
      <c r="I31" s="134"/>
      <c r="J31" s="127" t="s">
        <v>181</v>
      </c>
    </row>
    <row r="32" spans="2:10" x14ac:dyDescent="0.2">
      <c r="G32" s="152" t="s">
        <v>204</v>
      </c>
      <c r="H32" s="192">
        <v>0.75</v>
      </c>
      <c r="I32" s="134"/>
      <c r="J32" s="127" t="s">
        <v>181</v>
      </c>
    </row>
    <row r="33" spans="6:10" x14ac:dyDescent="0.2">
      <c r="G33" s="152" t="s">
        <v>205</v>
      </c>
      <c r="H33" s="192">
        <v>7.4999999999999997E-2</v>
      </c>
      <c r="I33" s="134"/>
      <c r="J33" s="127" t="s">
        <v>181</v>
      </c>
    </row>
    <row r="34" spans="6:10" x14ac:dyDescent="0.2">
      <c r="G34" s="126" t="s">
        <v>468</v>
      </c>
      <c r="H34" s="192">
        <v>0.63749999999999996</v>
      </c>
      <c r="I34" s="134"/>
      <c r="J34" s="127" t="s">
        <v>181</v>
      </c>
    </row>
    <row r="35" spans="6:10" x14ac:dyDescent="0.2">
      <c r="G35" s="126"/>
      <c r="I35" s="134"/>
      <c r="J35" s="127"/>
    </row>
    <row r="36" spans="6:10" x14ac:dyDescent="0.2">
      <c r="G36" s="906" t="s">
        <v>206</v>
      </c>
      <c r="H36" s="907"/>
      <c r="I36" s="907"/>
      <c r="J36" s="908"/>
    </row>
    <row r="37" spans="6:10" x14ac:dyDescent="0.2">
      <c r="G37" s="126" t="s">
        <v>192</v>
      </c>
      <c r="I37" s="268">
        <v>0.25390000000000001</v>
      </c>
      <c r="J37" s="127" t="s">
        <v>207</v>
      </c>
    </row>
    <row r="38" spans="6:10" x14ac:dyDescent="0.2">
      <c r="G38" s="126"/>
      <c r="I38" s="268"/>
      <c r="J38" s="127"/>
    </row>
    <row r="39" spans="6:10" x14ac:dyDescent="0.2">
      <c r="F39" s="293"/>
      <c r="G39" s="126" t="str">
        <f>'[21]Master Data'!C37</f>
        <v>Occupancy</v>
      </c>
      <c r="I39" s="244">
        <v>30.57</v>
      </c>
      <c r="J39" s="127" t="s">
        <v>208</v>
      </c>
    </row>
    <row r="40" spans="6:10" x14ac:dyDescent="0.2">
      <c r="F40" s="163"/>
      <c r="G40" s="126" t="str">
        <f>'[21]Master Data'!C38</f>
        <v>Programmatic expenses</v>
      </c>
      <c r="I40" s="244">
        <v>25</v>
      </c>
      <c r="J40" s="127" t="s">
        <v>209</v>
      </c>
    </row>
    <row r="41" spans="6:10" x14ac:dyDescent="0.2">
      <c r="G41" s="126" t="s">
        <v>210</v>
      </c>
      <c r="I41" s="334">
        <v>1.25</v>
      </c>
      <c r="J41" s="127" t="s">
        <v>211</v>
      </c>
    </row>
    <row r="42" spans="6:10" ht="13.35" customHeight="1" x14ac:dyDescent="0.2">
      <c r="G42" s="179" t="s">
        <v>198</v>
      </c>
      <c r="H42" s="180"/>
      <c r="I42" s="244">
        <f>SUM(I39:I41)</f>
        <v>56.82</v>
      </c>
      <c r="J42" s="182"/>
    </row>
    <row r="43" spans="6:10" x14ac:dyDescent="0.2">
      <c r="G43" s="126"/>
      <c r="I43" s="268"/>
      <c r="J43" s="127"/>
    </row>
    <row r="44" spans="6:10" x14ac:dyDescent="0.2">
      <c r="G44" s="126" t="s">
        <v>199</v>
      </c>
      <c r="I44" s="268">
        <v>0.12</v>
      </c>
      <c r="J44" s="127" t="s">
        <v>213</v>
      </c>
    </row>
    <row r="45" spans="6:10" x14ac:dyDescent="0.2">
      <c r="G45" s="126"/>
      <c r="I45" s="268"/>
      <c r="J45" s="127"/>
    </row>
    <row r="46" spans="6:10" ht="13.5" thickBot="1" x14ac:dyDescent="0.25">
      <c r="G46" s="144" t="s">
        <v>214</v>
      </c>
      <c r="H46" s="183"/>
      <c r="I46" s="270">
        <v>2.7812E-2</v>
      </c>
      <c r="J46" s="185" t="s">
        <v>215</v>
      </c>
    </row>
    <row r="53" spans="1:1" x14ac:dyDescent="0.2">
      <c r="A53" s="244"/>
    </row>
    <row r="54" spans="1:1" x14ac:dyDescent="0.2">
      <c r="A54" s="158"/>
    </row>
    <row r="55" spans="1:1" x14ac:dyDescent="0.2">
      <c r="A55" s="158"/>
    </row>
    <row r="56" spans="1:1" x14ac:dyDescent="0.2">
      <c r="A56" s="158"/>
    </row>
  </sheetData>
  <mergeCells count="6">
    <mergeCell ref="G36:J36"/>
    <mergeCell ref="B1:E2"/>
    <mergeCell ref="G1:J1"/>
    <mergeCell ref="H3:I3"/>
    <mergeCell ref="G14:J14"/>
    <mergeCell ref="G15:J15"/>
  </mergeCells>
  <pageMargins left="0.7" right="0.7" top="0.75" bottom="0.75" header="0.3" footer="0.3"/>
  <pageSetup scale="40" fitToHeight="0" orientation="portrait" r:id="rId1"/>
  <headerFooter>
    <oddFooter>&amp;R2016-04-12
&amp;A
Caring Together rate review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CCA3-7FC6-4F1C-9383-1DA057F7CE3A}">
  <sheetPr>
    <pageSetUpPr fitToPage="1"/>
  </sheetPr>
  <dimension ref="A1:J47"/>
  <sheetViews>
    <sheetView zoomScaleNormal="100" zoomScaleSheetLayoutView="90" workbookViewId="0">
      <selection activeCell="E29" sqref="E29"/>
    </sheetView>
  </sheetViews>
  <sheetFormatPr defaultColWidth="9.140625" defaultRowHeight="12.75" x14ac:dyDescent="0.2"/>
  <cols>
    <col min="1" max="1" width="2.140625" style="120" customWidth="1"/>
    <col min="2" max="2" width="36.42578125" style="120" customWidth="1"/>
    <col min="3" max="3" width="12.85546875" style="120" customWidth="1"/>
    <col min="4" max="4" width="14.140625" style="120" customWidth="1"/>
    <col min="5" max="5" width="18.85546875" style="120" customWidth="1"/>
    <col min="6" max="6" width="12.5703125" style="121" customWidth="1"/>
    <col min="7" max="7" width="31.85546875" style="120" bestFit="1" customWidth="1"/>
    <col min="8" max="8" width="17.5703125" style="120" customWidth="1"/>
    <col min="9" max="9" width="10.140625" style="120" customWidth="1"/>
    <col min="10" max="10" width="56.140625" style="120" customWidth="1"/>
    <col min="11" max="11" width="36.85546875" style="120" bestFit="1" customWidth="1"/>
    <col min="12" max="12" width="25.85546875" style="120" customWidth="1"/>
    <col min="13" max="16384" width="9.140625" style="120"/>
  </cols>
  <sheetData>
    <row r="1" spans="1:10" ht="13.5" customHeight="1" thickBot="1" x14ac:dyDescent="0.25">
      <c r="B1" s="912" t="s">
        <v>267</v>
      </c>
      <c r="C1" s="913"/>
      <c r="D1" s="913"/>
      <c r="E1" s="914"/>
      <c r="G1" s="921" t="s">
        <v>164</v>
      </c>
      <c r="H1" s="921"/>
      <c r="I1" s="921"/>
      <c r="J1" s="921"/>
    </row>
    <row r="2" spans="1:10" ht="13.5" thickBot="1" x14ac:dyDescent="0.25">
      <c r="B2" s="915"/>
      <c r="C2" s="916"/>
      <c r="D2" s="916"/>
      <c r="E2" s="917"/>
    </row>
    <row r="3" spans="1:10" ht="13.5" thickBot="1" x14ac:dyDescent="0.25">
      <c r="B3" s="122" t="s">
        <v>165</v>
      </c>
      <c r="C3" s="128">
        <v>12</v>
      </c>
      <c r="D3" s="200" t="s">
        <v>166</v>
      </c>
      <c r="E3" s="220">
        <f>C3*365</f>
        <v>4380</v>
      </c>
      <c r="F3" s="279"/>
      <c r="G3" s="124" t="s">
        <v>167</v>
      </c>
      <c r="H3" s="922" t="s">
        <v>168</v>
      </c>
      <c r="I3" s="922"/>
      <c r="J3" s="125"/>
    </row>
    <row r="4" spans="1:10" ht="13.5" thickBot="1" x14ac:dyDescent="0.25">
      <c r="B4" s="174"/>
      <c r="C4" s="175"/>
      <c r="D4" s="175" t="s">
        <v>169</v>
      </c>
      <c r="E4" s="208" t="s">
        <v>170</v>
      </c>
      <c r="F4" s="279"/>
      <c r="G4" s="122"/>
      <c r="H4" s="128" t="s">
        <v>156</v>
      </c>
      <c r="I4" s="129" t="s">
        <v>157</v>
      </c>
      <c r="J4" s="130"/>
    </row>
    <row r="5" spans="1:10" ht="15" customHeight="1" x14ac:dyDescent="0.2">
      <c r="B5" s="126" t="s">
        <v>172</v>
      </c>
      <c r="D5" s="277">
        <v>1</v>
      </c>
      <c r="E5" s="135">
        <v>72975</v>
      </c>
      <c r="G5" s="126" t="s">
        <v>171</v>
      </c>
      <c r="H5" s="121">
        <v>15</v>
      </c>
      <c r="I5" s="121">
        <f>H5*8</f>
        <v>120</v>
      </c>
      <c r="J5" s="130"/>
    </row>
    <row r="6" spans="1:10" ht="15" customHeight="1" x14ac:dyDescent="0.2">
      <c r="A6" s="133"/>
      <c r="B6" s="126" t="s">
        <v>177</v>
      </c>
      <c r="D6" s="218">
        <v>2</v>
      </c>
      <c r="E6" s="135">
        <v>101457</v>
      </c>
      <c r="G6" s="126" t="s">
        <v>173</v>
      </c>
      <c r="H6" s="121">
        <v>8</v>
      </c>
      <c r="I6" s="121">
        <f>H6*8</f>
        <v>64</v>
      </c>
      <c r="J6" s="130"/>
    </row>
    <row r="7" spans="1:10" ht="15" customHeight="1" x14ac:dyDescent="0.2">
      <c r="A7" s="133"/>
      <c r="B7" s="137" t="s">
        <v>220</v>
      </c>
      <c r="C7" s="273"/>
      <c r="D7" s="278">
        <v>2.33</v>
      </c>
      <c r="E7" s="275">
        <v>102788</v>
      </c>
      <c r="G7" s="126" t="s">
        <v>174</v>
      </c>
      <c r="H7" s="121">
        <v>11</v>
      </c>
      <c r="I7" s="121">
        <f>H7*8</f>
        <v>88</v>
      </c>
      <c r="J7" s="136" t="s">
        <v>493</v>
      </c>
    </row>
    <row r="8" spans="1:10" ht="15" customHeight="1" x14ac:dyDescent="0.2">
      <c r="A8" s="133"/>
      <c r="B8" s="153" t="s">
        <v>187</v>
      </c>
      <c r="C8" s="154"/>
      <c r="D8" s="193">
        <f>SUM(D5:D7)</f>
        <v>5.33</v>
      </c>
      <c r="E8" s="155">
        <f>SUM(E5:E7)</f>
        <v>277220</v>
      </c>
      <c r="G8" s="137" t="s">
        <v>176</v>
      </c>
      <c r="H8" s="138">
        <v>5</v>
      </c>
      <c r="I8" s="138">
        <f>H8*8</f>
        <v>40</v>
      </c>
      <c r="J8" s="139"/>
    </row>
    <row r="9" spans="1:10" ht="15" customHeight="1" x14ac:dyDescent="0.2">
      <c r="A9" s="133"/>
      <c r="B9" s="122" t="s">
        <v>229</v>
      </c>
      <c r="D9" s="200"/>
      <c r="E9" s="127"/>
      <c r="G9" s="126"/>
      <c r="H9" s="141" t="s">
        <v>161</v>
      </c>
      <c r="I9" s="121">
        <f>SUM(I5:I8)</f>
        <v>312</v>
      </c>
      <c r="J9" s="142"/>
    </row>
    <row r="10" spans="1:10" ht="15" customHeight="1" thickBot="1" x14ac:dyDescent="0.25">
      <c r="A10" s="128"/>
      <c r="B10" s="126" t="s">
        <v>192</v>
      </c>
      <c r="C10" s="156">
        <f>I31</f>
        <v>0.25390000000000001</v>
      </c>
      <c r="E10" s="135">
        <f>C10*E8</f>
        <v>70386.15800000001</v>
      </c>
      <c r="G10" s="144"/>
      <c r="H10" s="145" t="s">
        <v>178</v>
      </c>
      <c r="I10" s="280">
        <f>I9/(52*40)</f>
        <v>0.15</v>
      </c>
      <c r="J10" s="292"/>
    </row>
    <row r="11" spans="1:10" ht="15" customHeight="1" x14ac:dyDescent="0.2">
      <c r="B11" s="126" t="s">
        <v>483</v>
      </c>
      <c r="C11" s="156">
        <f>I40</f>
        <v>2.7812E-2</v>
      </c>
      <c r="E11" s="135">
        <f>(E8+E10)*C11</f>
        <v>9667.6224662959994</v>
      </c>
      <c r="H11" s="141"/>
      <c r="I11" s="282"/>
      <c r="J11" s="283"/>
    </row>
    <row r="12" spans="1:10" ht="15" customHeight="1" x14ac:dyDescent="0.2">
      <c r="B12" s="153" t="s">
        <v>194</v>
      </c>
      <c r="C12" s="154"/>
      <c r="D12" s="157"/>
      <c r="E12" s="155">
        <f>SUM(E8:E11)</f>
        <v>357273.78046629601</v>
      </c>
      <c r="G12" s="120" t="s">
        <v>265</v>
      </c>
      <c r="H12" s="141"/>
      <c r="I12" s="282"/>
      <c r="J12" s="283"/>
    </row>
    <row r="13" spans="1:10" ht="15" customHeight="1" thickBot="1" x14ac:dyDescent="0.25">
      <c r="B13" s="126" t="s">
        <v>216</v>
      </c>
      <c r="D13" s="158">
        <f>I33</f>
        <v>30.57</v>
      </c>
      <c r="E13" s="159">
        <f>D13*E3</f>
        <v>133896.6</v>
      </c>
    </row>
    <row r="14" spans="1:10" ht="15" customHeight="1" thickBot="1" x14ac:dyDescent="0.35">
      <c r="B14" s="126" t="s">
        <v>217</v>
      </c>
      <c r="D14" s="158">
        <f>I34</f>
        <v>25</v>
      </c>
      <c r="E14" s="159">
        <f>D14*E3</f>
        <v>109500</v>
      </c>
      <c r="G14" s="923" t="s">
        <v>179</v>
      </c>
      <c r="H14" s="924"/>
      <c r="I14" s="924"/>
      <c r="J14" s="925"/>
    </row>
    <row r="15" spans="1:10" ht="15" customHeight="1" x14ac:dyDescent="0.2">
      <c r="B15" s="126" t="s">
        <v>210</v>
      </c>
      <c r="D15" s="158">
        <f>I35</f>
        <v>1.25</v>
      </c>
      <c r="E15" s="159">
        <f>D15*E3</f>
        <v>5475</v>
      </c>
      <c r="G15" s="932"/>
      <c r="H15" s="933"/>
      <c r="I15" s="933"/>
      <c r="J15" s="934"/>
    </row>
    <row r="16" spans="1:10" ht="15" customHeight="1" x14ac:dyDescent="0.2">
      <c r="B16" s="153" t="s">
        <v>198</v>
      </c>
      <c r="C16" s="154"/>
      <c r="D16" s="154"/>
      <c r="E16" s="155">
        <f>SUM(E12:E15)</f>
        <v>606145.38046629599</v>
      </c>
      <c r="I16" s="134"/>
      <c r="J16" s="127"/>
    </row>
    <row r="17" spans="2:10" ht="15" customHeight="1" x14ac:dyDescent="0.2">
      <c r="B17" s="126" t="s">
        <v>199</v>
      </c>
      <c r="C17" s="156">
        <f>I38</f>
        <v>0.12</v>
      </c>
      <c r="E17" s="135">
        <f>C17*(E16-E11)</f>
        <v>71577.330960000007</v>
      </c>
      <c r="G17" s="122"/>
      <c r="I17" s="134"/>
      <c r="J17" s="127"/>
    </row>
    <row r="18" spans="2:10" ht="15" customHeight="1" thickBot="1" x14ac:dyDescent="0.25">
      <c r="B18" s="313" t="s">
        <v>214</v>
      </c>
      <c r="C18" s="235">
        <f>I40</f>
        <v>2.7812E-2</v>
      </c>
      <c r="D18" s="161"/>
      <c r="E18" s="162">
        <f>(E13+E14+E15)*C18</f>
        <v>6921.6169392000002</v>
      </c>
      <c r="G18" s="122" t="s">
        <v>172</v>
      </c>
      <c r="H18" s="120" t="s">
        <v>226</v>
      </c>
      <c r="I18" s="134"/>
      <c r="J18" s="127"/>
    </row>
    <row r="19" spans="2:10" ht="15" customHeight="1" thickTop="1" x14ac:dyDescent="0.2">
      <c r="B19" s="122" t="s">
        <v>485</v>
      </c>
      <c r="C19" s="156"/>
      <c r="E19" s="284">
        <f>SUM(E16:E18)-0.5</f>
        <v>684643.82836549601</v>
      </c>
      <c r="G19" s="126" t="s">
        <v>180</v>
      </c>
      <c r="H19" s="192">
        <v>1</v>
      </c>
      <c r="I19" s="134"/>
      <c r="J19" s="127" t="s">
        <v>181</v>
      </c>
    </row>
    <row r="20" spans="2:10" ht="15" customHeight="1" x14ac:dyDescent="0.2">
      <c r="B20" s="126"/>
      <c r="E20" s="166" t="s">
        <v>201</v>
      </c>
      <c r="G20" s="126"/>
      <c r="H20" s="192"/>
      <c r="I20" s="134"/>
      <c r="J20" s="127"/>
    </row>
    <row r="21" spans="2:10" ht="15" customHeight="1" thickBot="1" x14ac:dyDescent="0.25">
      <c r="B21" s="126"/>
      <c r="C21" s="338" t="s">
        <v>225</v>
      </c>
      <c r="D21" s="244"/>
      <c r="E21" s="315">
        <f>E19/E3</f>
        <v>156.31137633915435</v>
      </c>
      <c r="G21" s="122" t="s">
        <v>177</v>
      </c>
      <c r="H21" s="192"/>
      <c r="I21" s="134"/>
      <c r="J21" s="127"/>
    </row>
    <row r="22" spans="2:10" ht="15" customHeight="1" thickBot="1" x14ac:dyDescent="0.25">
      <c r="B22" s="170" t="s">
        <v>240</v>
      </c>
      <c r="C22" s="337">
        <v>0.8</v>
      </c>
      <c r="D22" s="316"/>
      <c r="E22" s="317">
        <f>E21/C22</f>
        <v>195.38922042394293</v>
      </c>
      <c r="G22" s="126" t="s">
        <v>477</v>
      </c>
      <c r="H22" s="192">
        <v>2</v>
      </c>
      <c r="I22" s="134"/>
      <c r="J22" s="127" t="s">
        <v>181</v>
      </c>
    </row>
    <row r="23" spans="2:10" ht="15" customHeight="1" thickBot="1" x14ac:dyDescent="0.3">
      <c r="B23" s="230" t="s">
        <v>241</v>
      </c>
      <c r="C23" s="236">
        <v>0.9</v>
      </c>
      <c r="D23" s="319"/>
      <c r="E23" s="232">
        <f>E21/C23</f>
        <v>173.67930704350482</v>
      </c>
      <c r="G23" s="226"/>
      <c r="H23" s="816"/>
      <c r="I23" s="227"/>
      <c r="J23" s="228"/>
    </row>
    <row r="24" spans="2:10" x14ac:dyDescent="0.2">
      <c r="B24" s="296"/>
      <c r="C24" s="273"/>
      <c r="D24" s="298"/>
      <c r="E24" s="299"/>
      <c r="G24" s="122" t="s">
        <v>121</v>
      </c>
      <c r="H24" s="192"/>
      <c r="I24" s="134"/>
      <c r="J24" s="127"/>
    </row>
    <row r="25" spans="2:10" x14ac:dyDescent="0.2">
      <c r="G25" s="152" t="s">
        <v>197</v>
      </c>
      <c r="H25" s="192">
        <v>1</v>
      </c>
      <c r="I25" s="134"/>
      <c r="J25" s="127" t="s">
        <v>181</v>
      </c>
    </row>
    <row r="26" spans="2:10" x14ac:dyDescent="0.2">
      <c r="E26" s="321"/>
      <c r="G26" s="173" t="s">
        <v>203</v>
      </c>
      <c r="H26" s="192">
        <v>0.5</v>
      </c>
      <c r="I26" s="134"/>
      <c r="J26" s="127" t="s">
        <v>181</v>
      </c>
    </row>
    <row r="27" spans="2:10" x14ac:dyDescent="0.2">
      <c r="E27" s="268"/>
      <c r="G27" s="152" t="s">
        <v>204</v>
      </c>
      <c r="H27" s="192">
        <v>0.75</v>
      </c>
      <c r="I27" s="134"/>
      <c r="J27" s="127" t="s">
        <v>181</v>
      </c>
    </row>
    <row r="28" spans="2:10" x14ac:dyDescent="0.2">
      <c r="G28" s="152" t="s">
        <v>205</v>
      </c>
      <c r="H28" s="192">
        <v>7.4999999999999997E-2</v>
      </c>
      <c r="I28" s="134"/>
      <c r="J28" s="127" t="s">
        <v>181</v>
      </c>
    </row>
    <row r="29" spans="2:10" x14ac:dyDescent="0.2">
      <c r="G29" s="126"/>
      <c r="I29" s="134"/>
      <c r="J29" s="127"/>
    </row>
    <row r="30" spans="2:10" x14ac:dyDescent="0.2">
      <c r="G30" s="906" t="s">
        <v>206</v>
      </c>
      <c r="H30" s="907"/>
      <c r="I30" s="907"/>
      <c r="J30" s="908"/>
    </row>
    <row r="31" spans="2:10" x14ac:dyDescent="0.2">
      <c r="G31" s="126" t="s">
        <v>192</v>
      </c>
      <c r="I31" s="268">
        <f>'[21]Master Data'!E35</f>
        <v>0.25390000000000001</v>
      </c>
      <c r="J31" s="127" t="s">
        <v>207</v>
      </c>
    </row>
    <row r="32" spans="2:10" x14ac:dyDescent="0.2">
      <c r="G32" s="126"/>
      <c r="I32" s="268"/>
      <c r="J32" s="127"/>
    </row>
    <row r="33" spans="1:10" x14ac:dyDescent="0.2">
      <c r="F33" s="285"/>
      <c r="G33" s="126" t="str">
        <f>'[21]Master Data'!C37</f>
        <v>Occupancy</v>
      </c>
      <c r="I33" s="244">
        <f>'[21]Master Data'!E37</f>
        <v>30.57</v>
      </c>
      <c r="J33" s="127" t="s">
        <v>208</v>
      </c>
    </row>
    <row r="34" spans="1:10" x14ac:dyDescent="0.2">
      <c r="F34" s="285"/>
      <c r="G34" s="126" t="str">
        <f>'[21]Master Data'!C38</f>
        <v>Programmatic expenses</v>
      </c>
      <c r="I34" s="244">
        <f>'[21]Master Data'!E38</f>
        <v>25</v>
      </c>
      <c r="J34" s="127" t="s">
        <v>209</v>
      </c>
    </row>
    <row r="35" spans="1:10" x14ac:dyDescent="0.2">
      <c r="G35" s="126" t="s">
        <v>210</v>
      </c>
      <c r="I35" s="334">
        <v>1.25</v>
      </c>
      <c r="J35" s="127" t="s">
        <v>211</v>
      </c>
    </row>
    <row r="36" spans="1:10" x14ac:dyDescent="0.2">
      <c r="G36" s="179" t="s">
        <v>198</v>
      </c>
      <c r="H36" s="180"/>
      <c r="I36" s="244">
        <f>SUM(I33:I35)</f>
        <v>56.82</v>
      </c>
      <c r="J36" s="182"/>
    </row>
    <row r="37" spans="1:10" x14ac:dyDescent="0.2">
      <c r="G37" s="126"/>
      <c r="I37" s="268"/>
      <c r="J37" s="127"/>
    </row>
    <row r="38" spans="1:10" x14ac:dyDescent="0.2">
      <c r="G38" s="126" t="s">
        <v>199</v>
      </c>
      <c r="I38" s="268">
        <v>0.12</v>
      </c>
      <c r="J38" s="127" t="s">
        <v>213</v>
      </c>
    </row>
    <row r="39" spans="1:10" x14ac:dyDescent="0.2">
      <c r="G39" s="126"/>
      <c r="I39" s="268"/>
      <c r="J39" s="127"/>
    </row>
    <row r="40" spans="1:10" ht="13.5" thickBot="1" x14ac:dyDescent="0.25">
      <c r="G40" s="144" t="s">
        <v>214</v>
      </c>
      <c r="H40" s="183"/>
      <c r="I40" s="270">
        <v>2.7812E-2</v>
      </c>
      <c r="J40" s="185" t="s">
        <v>215</v>
      </c>
    </row>
    <row r="42" spans="1:10" ht="13.35" customHeight="1" x14ac:dyDescent="0.2"/>
    <row r="44" spans="1:10" x14ac:dyDescent="0.2">
      <c r="A44" s="244"/>
    </row>
    <row r="45" spans="1:10" x14ac:dyDescent="0.2">
      <c r="A45" s="158"/>
    </row>
    <row r="46" spans="1:10" x14ac:dyDescent="0.2">
      <c r="A46" s="158"/>
    </row>
    <row r="47" spans="1:10" x14ac:dyDescent="0.2">
      <c r="A47" s="158"/>
    </row>
  </sheetData>
  <mergeCells count="6">
    <mergeCell ref="G30:J30"/>
    <mergeCell ref="B1:E2"/>
    <mergeCell ref="G1:J1"/>
    <mergeCell ref="H3:I3"/>
    <mergeCell ref="G14:J14"/>
    <mergeCell ref="G15:J15"/>
  </mergeCells>
  <pageMargins left="0.7" right="0.7" top="0.75" bottom="0.75" header="0.3" footer="0.3"/>
  <pageSetup scale="37" fitToHeight="0" orientation="portrait" r:id="rId1"/>
  <headerFooter>
    <oddFooter>&amp;R2016-04-12
&amp;A
Caring Together rate review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92A2-A76C-441F-800F-23F6E0A1EF06}">
  <sheetPr>
    <pageSetUpPr fitToPage="1"/>
  </sheetPr>
  <dimension ref="B1:K152"/>
  <sheetViews>
    <sheetView topLeftCell="D19" zoomScaleNormal="100" zoomScaleSheetLayoutView="90" workbookViewId="0">
      <selection activeCell="H43" sqref="H43"/>
    </sheetView>
  </sheetViews>
  <sheetFormatPr defaultColWidth="9.140625" defaultRowHeight="12.75" x14ac:dyDescent="0.2"/>
  <cols>
    <col min="1" max="1" width="3.42578125" style="120" customWidth="1"/>
    <col min="2" max="2" width="40.85546875" style="120" customWidth="1"/>
    <col min="3" max="3" width="6.5703125" style="120" customWidth="1"/>
    <col min="4" max="4" width="7" style="120" bestFit="1" customWidth="1"/>
    <col min="5" max="5" width="9.5703125" style="120" bestFit="1" customWidth="1"/>
    <col min="6" max="6" width="18" style="120" bestFit="1" customWidth="1"/>
    <col min="7" max="7" width="13.140625" style="120" customWidth="1"/>
    <col min="8" max="8" width="36" style="121" bestFit="1" customWidth="1"/>
    <col min="9" max="9" width="18.42578125" style="120" bestFit="1" customWidth="1"/>
    <col min="10" max="10" width="14.5703125" style="120" customWidth="1"/>
    <col min="11" max="11" width="46.140625" style="120" customWidth="1"/>
    <col min="12" max="12" width="46.42578125" style="120" customWidth="1"/>
    <col min="13" max="13" width="36.85546875" style="120" bestFit="1" customWidth="1"/>
    <col min="14" max="14" width="25.85546875" style="120" customWidth="1"/>
    <col min="15" max="16384" width="9.140625" style="120"/>
  </cols>
  <sheetData>
    <row r="1" spans="2:11" ht="13.5" customHeight="1" thickBot="1" x14ac:dyDescent="0.25">
      <c r="B1" s="912" t="s">
        <v>487</v>
      </c>
      <c r="C1" s="913"/>
      <c r="D1" s="913"/>
      <c r="E1" s="913"/>
      <c r="F1" s="914"/>
      <c r="G1" s="121"/>
      <c r="H1" s="921" t="s">
        <v>164</v>
      </c>
      <c r="I1" s="921"/>
      <c r="J1" s="921"/>
      <c r="K1" s="921"/>
    </row>
    <row r="2" spans="2:11" ht="13.5" thickBot="1" x14ac:dyDescent="0.25">
      <c r="B2" s="915"/>
      <c r="C2" s="916"/>
      <c r="D2" s="916"/>
      <c r="E2" s="916"/>
      <c r="F2" s="917"/>
      <c r="G2" s="121"/>
      <c r="H2" s="120"/>
    </row>
    <row r="3" spans="2:11" ht="13.5" thickBot="1" x14ac:dyDescent="0.25">
      <c r="B3" s="122" t="s">
        <v>165</v>
      </c>
      <c r="D3" s="128">
        <v>10</v>
      </c>
      <c r="E3" s="200" t="s">
        <v>166</v>
      </c>
      <c r="F3" s="220">
        <f>D3*365</f>
        <v>3650</v>
      </c>
      <c r="G3" s="279"/>
      <c r="H3" s="124" t="s">
        <v>167</v>
      </c>
      <c r="I3" s="922" t="s">
        <v>168</v>
      </c>
      <c r="J3" s="922"/>
      <c r="K3" s="125"/>
    </row>
    <row r="4" spans="2:11" ht="13.5" thickBot="1" x14ac:dyDescent="0.25">
      <c r="B4" s="174"/>
      <c r="C4" s="206"/>
      <c r="D4" s="175"/>
      <c r="E4" s="175" t="s">
        <v>169</v>
      </c>
      <c r="F4" s="208" t="s">
        <v>170</v>
      </c>
      <c r="G4" s="279"/>
      <c r="H4" s="122"/>
      <c r="I4" s="128" t="s">
        <v>156</v>
      </c>
      <c r="J4" s="129" t="s">
        <v>157</v>
      </c>
      <c r="K4" s="130"/>
    </row>
    <row r="5" spans="2:11" ht="15" customHeight="1" x14ac:dyDescent="0.2">
      <c r="B5" s="126" t="s">
        <v>172</v>
      </c>
      <c r="E5" s="277">
        <v>1</v>
      </c>
      <c r="F5" s="135">
        <v>73171</v>
      </c>
      <c r="G5" s="121"/>
      <c r="H5" s="126" t="s">
        <v>171</v>
      </c>
      <c r="I5" s="121">
        <v>15</v>
      </c>
      <c r="J5" s="121">
        <f>I5*8</f>
        <v>120</v>
      </c>
      <c r="K5" s="130"/>
    </row>
    <row r="6" spans="2:11" ht="15" customHeight="1" x14ac:dyDescent="0.2">
      <c r="B6" s="126" t="s">
        <v>177</v>
      </c>
      <c r="E6" s="218">
        <v>1.25</v>
      </c>
      <c r="F6" s="135">
        <v>66625</v>
      </c>
      <c r="G6" s="121"/>
      <c r="H6" s="126" t="s">
        <v>173</v>
      </c>
      <c r="I6" s="121">
        <v>8</v>
      </c>
      <c r="J6" s="121">
        <f>I6*8</f>
        <v>64</v>
      </c>
      <c r="K6" s="130"/>
    </row>
    <row r="7" spans="2:11" ht="15" customHeight="1" x14ac:dyDescent="0.2">
      <c r="B7" s="137" t="s">
        <v>220</v>
      </c>
      <c r="C7" s="273"/>
      <c r="D7" s="273"/>
      <c r="E7" s="278">
        <v>10.199999999999999</v>
      </c>
      <c r="F7" s="275">
        <v>403121</v>
      </c>
      <c r="G7" s="121"/>
      <c r="H7" s="126" t="s">
        <v>174</v>
      </c>
      <c r="I7" s="121">
        <v>11</v>
      </c>
      <c r="J7" s="121">
        <f>I7*8</f>
        <v>88</v>
      </c>
      <c r="K7" s="136" t="s">
        <v>493</v>
      </c>
    </row>
    <row r="8" spans="2:11" ht="15" customHeight="1" x14ac:dyDescent="0.2">
      <c r="B8" s="153" t="s">
        <v>187</v>
      </c>
      <c r="C8" s="154"/>
      <c r="D8" s="154"/>
      <c r="E8" s="193">
        <f>SUM(E5:E7)</f>
        <v>12.45</v>
      </c>
      <c r="F8" s="155">
        <f>SUM(F5:F7)</f>
        <v>542917</v>
      </c>
      <c r="G8" s="121"/>
      <c r="H8" s="137" t="s">
        <v>176</v>
      </c>
      <c r="I8" s="138">
        <v>5</v>
      </c>
      <c r="J8" s="138">
        <f>I8*8</f>
        <v>40</v>
      </c>
      <c r="K8" s="139"/>
    </row>
    <row r="9" spans="2:11" ht="15" customHeight="1" x14ac:dyDescent="0.2">
      <c r="B9" s="122" t="s">
        <v>229</v>
      </c>
      <c r="E9" s="200"/>
      <c r="F9" s="127"/>
      <c r="G9" s="121"/>
      <c r="H9" s="126"/>
      <c r="I9" s="141" t="s">
        <v>161</v>
      </c>
      <c r="J9" s="121">
        <f>SUM(J5:J8)</f>
        <v>312</v>
      </c>
      <c r="K9" s="142"/>
    </row>
    <row r="10" spans="2:11" ht="15" customHeight="1" thickBot="1" x14ac:dyDescent="0.25">
      <c r="B10" s="126" t="s">
        <v>192</v>
      </c>
      <c r="D10" s="156">
        <f>J31</f>
        <v>0.25390000000000001</v>
      </c>
      <c r="F10" s="135">
        <f>D10*F8</f>
        <v>137846.6263</v>
      </c>
      <c r="G10" s="121"/>
      <c r="H10" s="144"/>
      <c r="I10" s="145" t="s">
        <v>178</v>
      </c>
      <c r="J10" s="280">
        <f>J9/(52*40)</f>
        <v>0.15</v>
      </c>
      <c r="K10" s="292"/>
    </row>
    <row r="11" spans="2:11" ht="15" customHeight="1" x14ac:dyDescent="0.2">
      <c r="B11" s="126" t="s">
        <v>483</v>
      </c>
      <c r="C11" s="156"/>
      <c r="D11" s="156">
        <f>J39</f>
        <v>2.7812E-2</v>
      </c>
      <c r="E11" s="135"/>
      <c r="F11" s="135">
        <f>(F8+F10)*D11</f>
        <v>18933.3979746556</v>
      </c>
      <c r="G11" s="121"/>
      <c r="H11" s="120"/>
      <c r="I11" s="141"/>
      <c r="J11" s="282"/>
      <c r="K11" s="283"/>
    </row>
    <row r="12" spans="2:11" ht="15" customHeight="1" x14ac:dyDescent="0.2">
      <c r="B12" s="153" t="s">
        <v>194</v>
      </c>
      <c r="C12" s="154"/>
      <c r="D12" s="154"/>
      <c r="E12" s="157"/>
      <c r="F12" s="155">
        <f>SUM(F8:F11)</f>
        <v>699697.02427465562</v>
      </c>
      <c r="G12" s="121"/>
      <c r="H12" s="120"/>
      <c r="I12" s="141"/>
      <c r="J12" s="282"/>
      <c r="K12" s="283"/>
    </row>
    <row r="13" spans="2:11" ht="15" customHeight="1" thickBot="1" x14ac:dyDescent="0.25">
      <c r="B13" s="126" t="s">
        <v>216</v>
      </c>
      <c r="E13" s="158">
        <f>J33</f>
        <v>30.57</v>
      </c>
      <c r="F13" s="159">
        <f>E13*F3</f>
        <v>111580.5</v>
      </c>
      <c r="G13" s="121"/>
      <c r="H13" s="120"/>
    </row>
    <row r="14" spans="2:11" ht="15" customHeight="1" thickBot="1" x14ac:dyDescent="0.35">
      <c r="B14" s="126" t="str">
        <f>H34</f>
        <v>Programmatic expenses</v>
      </c>
      <c r="E14" s="158">
        <f>J34</f>
        <v>25</v>
      </c>
      <c r="F14" s="159">
        <f>E14*F3</f>
        <v>91250</v>
      </c>
      <c r="G14" s="121"/>
      <c r="H14" s="923" t="s">
        <v>179</v>
      </c>
      <c r="I14" s="924"/>
      <c r="J14" s="924"/>
      <c r="K14" s="925"/>
    </row>
    <row r="15" spans="2:11" ht="15" customHeight="1" x14ac:dyDescent="0.2">
      <c r="B15" s="153" t="s">
        <v>198</v>
      </c>
      <c r="C15" s="154"/>
      <c r="D15" s="154"/>
      <c r="E15" s="154"/>
      <c r="F15" s="155">
        <f>SUM(F12:F14)</f>
        <v>902527.52427465562</v>
      </c>
      <c r="G15" s="121"/>
      <c r="H15" s="932"/>
      <c r="I15" s="933"/>
      <c r="J15" s="933"/>
      <c r="K15" s="934"/>
    </row>
    <row r="16" spans="2:11" ht="15" customHeight="1" x14ac:dyDescent="0.2">
      <c r="B16" s="126" t="s">
        <v>199</v>
      </c>
      <c r="E16" s="156">
        <f>J37</f>
        <v>0.12</v>
      </c>
      <c r="F16" s="135">
        <f>E16*(F15-F11)</f>
        <v>106031.29515599999</v>
      </c>
      <c r="G16" s="121"/>
      <c r="H16" s="122" t="s">
        <v>172</v>
      </c>
      <c r="J16" s="134"/>
      <c r="K16" s="127"/>
    </row>
    <row r="17" spans="2:11" ht="15" customHeight="1" thickBot="1" x14ac:dyDescent="0.25">
      <c r="B17" s="313" t="s">
        <v>214</v>
      </c>
      <c r="C17" s="161"/>
      <c r="D17" s="161"/>
      <c r="E17" s="235">
        <f>J39</f>
        <v>2.7812E-2</v>
      </c>
      <c r="F17" s="162">
        <f>(F13+F14)*E17</f>
        <v>5641.1218660000004</v>
      </c>
      <c r="G17" s="121"/>
      <c r="H17" s="122"/>
      <c r="I17" s="121" t="s">
        <v>496</v>
      </c>
      <c r="J17" s="847" t="s">
        <v>497</v>
      </c>
      <c r="K17" s="127"/>
    </row>
    <row r="18" spans="2:11" ht="15" customHeight="1" thickTop="1" x14ac:dyDescent="0.2">
      <c r="B18" s="122" t="s">
        <v>485</v>
      </c>
      <c r="C18" s="156"/>
      <c r="E18" s="284"/>
      <c r="F18" s="284">
        <f>SUM(F15:F17)-0.5</f>
        <v>1014199.4412966556</v>
      </c>
      <c r="G18" s="121"/>
      <c r="H18" s="122"/>
      <c r="I18" s="121" t="s">
        <v>226</v>
      </c>
      <c r="J18" s="121" t="s">
        <v>226</v>
      </c>
      <c r="K18" s="127"/>
    </row>
    <row r="19" spans="2:11" ht="15" customHeight="1" x14ac:dyDescent="0.2">
      <c r="B19" s="126"/>
      <c r="F19" s="166" t="s">
        <v>201</v>
      </c>
      <c r="G19" s="121"/>
      <c r="H19" s="126" t="s">
        <v>180</v>
      </c>
      <c r="I19" s="277">
        <v>1</v>
      </c>
      <c r="J19" s="277"/>
      <c r="K19" s="127" t="s">
        <v>181</v>
      </c>
    </row>
    <row r="20" spans="2:11" ht="15" customHeight="1" thickBot="1" x14ac:dyDescent="0.25">
      <c r="B20" s="126"/>
      <c r="D20" s="156"/>
      <c r="E20" s="244"/>
      <c r="F20" s="315">
        <f>F18/12</f>
        <v>84516.620108054631</v>
      </c>
      <c r="G20" s="121"/>
      <c r="H20" s="126" t="s">
        <v>478</v>
      </c>
      <c r="J20" s="277">
        <v>1.2999999999999999E-2</v>
      </c>
      <c r="K20" s="127" t="s">
        <v>181</v>
      </c>
    </row>
    <row r="21" spans="2:11" ht="15" customHeight="1" thickBot="1" x14ac:dyDescent="0.25">
      <c r="B21" s="174" t="s">
        <v>268</v>
      </c>
      <c r="C21" s="175"/>
      <c r="D21" s="330"/>
      <c r="E21" s="319"/>
      <c r="F21" s="317">
        <f>F20/D3</f>
        <v>8451.6620108054631</v>
      </c>
      <c r="G21" s="121"/>
      <c r="H21" s="122" t="s">
        <v>177</v>
      </c>
      <c r="I21" s="277"/>
      <c r="J21" s="277"/>
      <c r="K21" s="127"/>
    </row>
    <row r="22" spans="2:11" ht="15" customHeight="1" x14ac:dyDescent="0.2">
      <c r="B22" s="200"/>
      <c r="C22" s="128"/>
      <c r="D22" s="201"/>
      <c r="E22" s="328"/>
      <c r="F22" s="321"/>
      <c r="G22" s="121"/>
      <c r="H22" s="126" t="s">
        <v>477</v>
      </c>
      <c r="I22" s="277">
        <v>1</v>
      </c>
      <c r="J22" s="277">
        <v>0.75</v>
      </c>
      <c r="K22" s="127" t="s">
        <v>181</v>
      </c>
    </row>
    <row r="23" spans="2:11" ht="15" customHeight="1" x14ac:dyDescent="0.2">
      <c r="C23" s="343"/>
      <c r="E23" s="328"/>
      <c r="F23" s="328"/>
      <c r="G23" s="121"/>
      <c r="H23" s="126" t="s">
        <v>250</v>
      </c>
      <c r="I23" s="277">
        <v>0.25</v>
      </c>
      <c r="J23" s="277">
        <v>0.2</v>
      </c>
      <c r="K23" s="127" t="s">
        <v>181</v>
      </c>
    </row>
    <row r="24" spans="2:11" ht="15" customHeight="1" thickBot="1" x14ac:dyDescent="0.3">
      <c r="B24" s="340"/>
      <c r="C24" s="344"/>
      <c r="D24" s="344"/>
      <c r="E24" s="344"/>
      <c r="F24" s="321"/>
      <c r="G24" s="121"/>
      <c r="H24" s="226"/>
      <c r="I24" s="817"/>
      <c r="J24" s="277"/>
      <c r="K24" s="228"/>
    </row>
    <row r="25" spans="2:11" ht="15" customHeight="1" x14ac:dyDescent="0.2">
      <c r="B25" s="912" t="s">
        <v>269</v>
      </c>
      <c r="C25" s="927"/>
      <c r="D25" s="927"/>
      <c r="E25" s="927"/>
      <c r="F25" s="928"/>
      <c r="G25" s="339"/>
      <c r="H25" s="122" t="s">
        <v>121</v>
      </c>
      <c r="I25" s="277"/>
      <c r="J25" s="277"/>
      <c r="K25" s="127"/>
    </row>
    <row r="26" spans="2:11" ht="15" customHeight="1" thickBot="1" x14ac:dyDescent="0.25">
      <c r="B26" s="935"/>
      <c r="C26" s="936"/>
      <c r="D26" s="936"/>
      <c r="E26" s="936"/>
      <c r="F26" s="937"/>
      <c r="G26" s="121"/>
      <c r="H26" s="169" t="s">
        <v>202</v>
      </c>
      <c r="I26" s="277">
        <v>8</v>
      </c>
      <c r="J26" s="277"/>
      <c r="K26" s="127" t="s">
        <v>181</v>
      </c>
    </row>
    <row r="27" spans="2:11" ht="15" customHeight="1" x14ac:dyDescent="0.2">
      <c r="B27" s="122" t="s">
        <v>270</v>
      </c>
      <c r="C27" s="217">
        <v>250</v>
      </c>
      <c r="D27" s="949" t="s">
        <v>271</v>
      </c>
      <c r="E27" s="949"/>
      <c r="F27" s="220">
        <v>1000</v>
      </c>
      <c r="G27" s="121"/>
      <c r="H27" s="173" t="s">
        <v>203</v>
      </c>
      <c r="I27" s="277">
        <v>1</v>
      </c>
      <c r="J27" s="277">
        <v>0.05</v>
      </c>
      <c r="K27" s="127" t="s">
        <v>181</v>
      </c>
    </row>
    <row r="28" spans="2:11" ht="15.75" thickBot="1" x14ac:dyDescent="0.3">
      <c r="B28" s="126" t="s">
        <v>272</v>
      </c>
      <c r="D28" s="128">
        <v>4</v>
      </c>
      <c r="F28" s="127"/>
      <c r="G28" s="40"/>
      <c r="H28" s="126" t="s">
        <v>468</v>
      </c>
      <c r="I28" s="848">
        <f>I26*J10</f>
        <v>1.2</v>
      </c>
      <c r="J28" s="848"/>
      <c r="K28" s="127" t="s">
        <v>181</v>
      </c>
    </row>
    <row r="29" spans="2:11" ht="15.75" thickBot="1" x14ac:dyDescent="0.3">
      <c r="B29" s="174"/>
      <c r="C29" s="206"/>
      <c r="D29" s="175"/>
      <c r="E29" s="175" t="s">
        <v>169</v>
      </c>
      <c r="F29" s="208" t="s">
        <v>170</v>
      </c>
      <c r="G29" s="40"/>
      <c r="H29" s="126"/>
      <c r="I29" s="277">
        <f>SUM(I19:I28)</f>
        <v>12.45</v>
      </c>
      <c r="J29" s="277">
        <f>SUM(J19:J28)</f>
        <v>1.0130000000000001</v>
      </c>
      <c r="K29" s="127"/>
    </row>
    <row r="30" spans="2:11" ht="15" x14ac:dyDescent="0.25">
      <c r="B30" s="126" t="s">
        <v>488</v>
      </c>
      <c r="E30" s="277">
        <v>1.2999999999999999E-2</v>
      </c>
      <c r="F30" s="135">
        <v>912</v>
      </c>
      <c r="G30" s="40"/>
      <c r="H30" s="906" t="s">
        <v>206</v>
      </c>
      <c r="I30" s="907"/>
      <c r="J30" s="907"/>
      <c r="K30" s="908"/>
    </row>
    <row r="31" spans="2:11" ht="15" x14ac:dyDescent="0.25">
      <c r="B31" s="126" t="s">
        <v>177</v>
      </c>
      <c r="E31" s="218">
        <v>0.95</v>
      </c>
      <c r="F31" s="135">
        <v>50763</v>
      </c>
      <c r="G31" s="40"/>
      <c r="H31" s="126" t="s">
        <v>192</v>
      </c>
      <c r="J31" s="268">
        <f>'[21]Master Data'!E35</f>
        <v>0.25390000000000001</v>
      </c>
      <c r="K31" s="127" t="s">
        <v>207</v>
      </c>
    </row>
    <row r="32" spans="2:11" ht="15" x14ac:dyDescent="0.25">
      <c r="B32" s="137" t="s">
        <v>220</v>
      </c>
      <c r="C32" s="273"/>
      <c r="D32" s="273"/>
      <c r="E32" s="278">
        <v>0.05</v>
      </c>
      <c r="F32" s="275">
        <v>1976</v>
      </c>
      <c r="G32" s="40"/>
      <c r="H32" s="126"/>
      <c r="J32" s="268"/>
      <c r="K32" s="127"/>
    </row>
    <row r="33" spans="2:11" x14ac:dyDescent="0.2">
      <c r="B33" s="153" t="s">
        <v>187</v>
      </c>
      <c r="C33" s="154"/>
      <c r="D33" s="154"/>
      <c r="E33" s="193">
        <f>SUM(E30:E32)</f>
        <v>1.0129999999999999</v>
      </c>
      <c r="F33" s="155">
        <f>SUM(F30:F32)</f>
        <v>53651</v>
      </c>
      <c r="G33" s="133"/>
      <c r="H33" s="126" t="str">
        <f>'[21]Master Data'!C37</f>
        <v>Occupancy</v>
      </c>
      <c r="J33" s="244">
        <f>'[21]Master Data'!E37</f>
        <v>30.57</v>
      </c>
      <c r="K33" s="127" t="s">
        <v>208</v>
      </c>
    </row>
    <row r="34" spans="2:11" ht="15" customHeight="1" x14ac:dyDescent="0.2">
      <c r="B34" s="126"/>
      <c r="F34" s="127"/>
      <c r="G34" s="133"/>
      <c r="H34" s="126" t="str">
        <f>'[21]Master Data'!C38</f>
        <v>Programmatic expenses</v>
      </c>
      <c r="J34" s="334">
        <v>25</v>
      </c>
      <c r="K34" s="127" t="s">
        <v>209</v>
      </c>
    </row>
    <row r="35" spans="2:11" ht="15" customHeight="1" x14ac:dyDescent="0.2">
      <c r="B35" s="122" t="s">
        <v>229</v>
      </c>
      <c r="E35" s="200" t="s">
        <v>189</v>
      </c>
      <c r="F35" s="127"/>
      <c r="G35" s="133"/>
      <c r="H35" s="179" t="s">
        <v>198</v>
      </c>
      <c r="I35" s="180"/>
      <c r="J35" s="244">
        <f>SUM(J33:J34)</f>
        <v>55.57</v>
      </c>
      <c r="K35" s="182"/>
    </row>
    <row r="36" spans="2:11" ht="15" customHeight="1" x14ac:dyDescent="0.2">
      <c r="B36" s="126" t="s">
        <v>192</v>
      </c>
      <c r="D36" s="156">
        <f>J31</f>
        <v>0.25390000000000001</v>
      </c>
      <c r="F36" s="135">
        <f>F33*D36</f>
        <v>13621.9889</v>
      </c>
      <c r="G36" s="133"/>
      <c r="H36" s="126"/>
      <c r="J36" s="268"/>
      <c r="K36" s="127"/>
    </row>
    <row r="37" spans="2:11" ht="15" customHeight="1" x14ac:dyDescent="0.2">
      <c r="B37" s="126" t="s">
        <v>483</v>
      </c>
      <c r="C37" s="156"/>
      <c r="D37" s="156">
        <f>E17</f>
        <v>2.7812E-2</v>
      </c>
      <c r="E37" s="135"/>
      <c r="F37" s="135">
        <f>(F33+F36)*D37</f>
        <v>1870.9963672867998</v>
      </c>
      <c r="G37" s="128"/>
      <c r="H37" s="126" t="s">
        <v>199</v>
      </c>
      <c r="J37" s="268">
        <v>0.12</v>
      </c>
      <c r="K37" s="127" t="s">
        <v>213</v>
      </c>
    </row>
    <row r="38" spans="2:11" ht="15" customHeight="1" x14ac:dyDescent="0.2">
      <c r="B38" s="153" t="s">
        <v>194</v>
      </c>
      <c r="C38" s="154"/>
      <c r="D38" s="154"/>
      <c r="E38" s="157"/>
      <c r="F38" s="155">
        <f>SUM(F33:F37)</f>
        <v>69143.9852672868</v>
      </c>
      <c r="H38" s="126"/>
      <c r="J38" s="268"/>
      <c r="K38" s="127"/>
    </row>
    <row r="39" spans="2:11" ht="15" customHeight="1" thickBot="1" x14ac:dyDescent="0.25">
      <c r="B39" s="126"/>
      <c r="C39" s="156"/>
      <c r="E39" s="156"/>
      <c r="F39" s="159"/>
      <c r="H39" s="144" t="s">
        <v>214</v>
      </c>
      <c r="I39" s="183"/>
      <c r="J39" s="270">
        <v>2.7812E-2</v>
      </c>
      <c r="K39" s="185" t="s">
        <v>215</v>
      </c>
    </row>
    <row r="40" spans="2:11" ht="15" customHeight="1" x14ac:dyDescent="0.2">
      <c r="B40" s="126" t="s">
        <v>274</v>
      </c>
      <c r="C40" s="156"/>
      <c r="E40" s="244">
        <f>30+6</f>
        <v>36</v>
      </c>
      <c r="F40" s="159">
        <f>E40*C27</f>
        <v>9000</v>
      </c>
    </row>
    <row r="41" spans="2:11" ht="15" customHeight="1" x14ac:dyDescent="0.2">
      <c r="B41" s="126" t="s">
        <v>216</v>
      </c>
      <c r="C41" s="120">
        <v>400</v>
      </c>
      <c r="D41" s="120" t="s">
        <v>275</v>
      </c>
      <c r="E41" s="158">
        <f>J33</f>
        <v>30.57</v>
      </c>
      <c r="F41" s="159">
        <f>E41*C41</f>
        <v>12228</v>
      </c>
    </row>
    <row r="42" spans="2:11" ht="15" customHeight="1" x14ac:dyDescent="0.2">
      <c r="B42" s="153" t="s">
        <v>198</v>
      </c>
      <c r="C42" s="154"/>
      <c r="D42" s="154"/>
      <c r="E42" s="154"/>
      <c r="F42" s="155">
        <f>SUM(F38:F41)</f>
        <v>90371.9852672868</v>
      </c>
    </row>
    <row r="43" spans="2:11" ht="15" customHeight="1" x14ac:dyDescent="0.2">
      <c r="B43" s="126" t="s">
        <v>199</v>
      </c>
      <c r="E43" s="156">
        <v>0.12</v>
      </c>
      <c r="F43" s="135">
        <f>(F42-F37)*E43</f>
        <v>10620.118667999999</v>
      </c>
    </row>
    <row r="44" spans="2:11" ht="15" customHeight="1" thickBot="1" x14ac:dyDescent="0.25">
      <c r="B44" s="313" t="s">
        <v>214</v>
      </c>
      <c r="C44" s="235"/>
      <c r="D44" s="161"/>
      <c r="E44" s="235">
        <f>D37</f>
        <v>2.7812E-2</v>
      </c>
      <c r="F44" s="162">
        <f>(F40+F41)*E44</f>
        <v>590.39313600000003</v>
      </c>
    </row>
    <row r="45" spans="2:11" ht="15" customHeight="1" thickTop="1" x14ac:dyDescent="0.2">
      <c r="B45" s="122" t="s">
        <v>485</v>
      </c>
      <c r="C45" s="156"/>
      <c r="E45" s="284"/>
      <c r="F45" s="284">
        <f>SUM(F42:F44)</f>
        <v>101582.49707128679</v>
      </c>
    </row>
    <row r="46" spans="2:11" ht="15" customHeight="1" thickBot="1" x14ac:dyDescent="0.25">
      <c r="B46" s="126"/>
      <c r="F46" s="166" t="s">
        <v>201</v>
      </c>
      <c r="G46" s="158"/>
    </row>
    <row r="47" spans="2:11" ht="15" customHeight="1" thickBot="1" x14ac:dyDescent="0.25">
      <c r="B47" s="174" t="s">
        <v>276</v>
      </c>
      <c r="C47" s="175"/>
      <c r="D47" s="330"/>
      <c r="E47" s="319"/>
      <c r="F47" s="317">
        <f>F45/C27</f>
        <v>406.32998828514718</v>
      </c>
    </row>
    <row r="48" spans="2:11" ht="15" customHeight="1" x14ac:dyDescent="0.2">
      <c r="B48" s="200"/>
      <c r="C48" s="128"/>
      <c r="D48" s="201"/>
      <c r="E48" s="328"/>
      <c r="F48" s="321"/>
    </row>
    <row r="49" spans="2:9" ht="15" customHeight="1" x14ac:dyDescent="0.2">
      <c r="B49" s="200"/>
      <c r="C49" s="128"/>
      <c r="D49" s="201"/>
      <c r="E49" s="328"/>
      <c r="F49" s="321"/>
    </row>
    <row r="50" spans="2:9" ht="15" customHeight="1" x14ac:dyDescent="0.2">
      <c r="B50" s="200"/>
      <c r="C50" s="128"/>
      <c r="D50" s="201"/>
      <c r="E50" s="328"/>
      <c r="F50" s="321"/>
    </row>
    <row r="51" spans="2:9" ht="15" customHeight="1" x14ac:dyDescent="0.2">
      <c r="B51" s="200"/>
      <c r="C51" s="128"/>
      <c r="D51" s="201"/>
      <c r="E51" s="328"/>
      <c r="F51" s="341"/>
    </row>
    <row r="52" spans="2:9" ht="15" customHeight="1" x14ac:dyDescent="0.2">
      <c r="C52" s="343"/>
      <c r="E52" s="328"/>
      <c r="F52" s="328"/>
    </row>
    <row r="53" spans="2:9" ht="15" customHeight="1" x14ac:dyDescent="0.25">
      <c r="B53" s="40"/>
      <c r="C53" s="40"/>
      <c r="D53" s="40"/>
      <c r="E53" s="40"/>
      <c r="F53" s="40"/>
      <c r="G53" s="268"/>
    </row>
    <row r="54" spans="2:9" ht="15" customHeight="1" x14ac:dyDescent="0.25">
      <c r="B54" s="40"/>
      <c r="C54" s="40"/>
      <c r="D54" s="40"/>
      <c r="E54" s="40"/>
      <c r="F54" s="40"/>
    </row>
    <row r="55" spans="2:9" ht="15" customHeight="1" x14ac:dyDescent="0.25">
      <c r="B55" s="40"/>
      <c r="C55" s="40"/>
      <c r="D55" s="40"/>
      <c r="E55" s="40"/>
      <c r="F55" s="40"/>
    </row>
    <row r="56" spans="2:9" ht="15" customHeight="1" x14ac:dyDescent="0.25">
      <c r="B56" s="40"/>
      <c r="C56" s="40"/>
      <c r="D56" s="40"/>
      <c r="E56" s="40"/>
      <c r="F56" s="40"/>
    </row>
    <row r="57" spans="2:9" ht="15" customHeight="1" x14ac:dyDescent="0.25">
      <c r="B57" s="40"/>
      <c r="C57" s="40"/>
      <c r="D57" s="40"/>
      <c r="E57" s="40"/>
      <c r="F57" s="40"/>
    </row>
    <row r="58" spans="2:9" x14ac:dyDescent="0.2">
      <c r="I58" s="290"/>
    </row>
    <row r="60" spans="2:9" ht="13.35" customHeight="1" x14ac:dyDescent="0.2">
      <c r="I60" s="205"/>
    </row>
    <row r="61" spans="2:9" ht="15" customHeight="1" x14ac:dyDescent="0.2"/>
    <row r="66" ht="13.5" customHeight="1" x14ac:dyDescent="0.2"/>
    <row r="82" spans="2:2" x14ac:dyDescent="0.2">
      <c r="B82" s="244"/>
    </row>
    <row r="83" spans="2:2" x14ac:dyDescent="0.2">
      <c r="B83" s="158"/>
    </row>
    <row r="84" spans="2:2" ht="12.75" customHeight="1" x14ac:dyDescent="0.2">
      <c r="B84" s="158"/>
    </row>
    <row r="85" spans="2:2" x14ac:dyDescent="0.2">
      <c r="B85" s="158"/>
    </row>
    <row r="88" spans="2:2" x14ac:dyDescent="0.2">
      <c r="B88" s="133"/>
    </row>
    <row r="89" spans="2:2" x14ac:dyDescent="0.2">
      <c r="B89" s="128"/>
    </row>
    <row r="103" ht="13.35" customHeight="1" x14ac:dyDescent="0.2"/>
    <row r="104" ht="15" customHeight="1" x14ac:dyDescent="0.2"/>
    <row r="109" ht="12.75" customHeight="1" x14ac:dyDescent="0.2"/>
    <row r="117" spans="2:2" x14ac:dyDescent="0.2">
      <c r="B117" s="158"/>
    </row>
    <row r="118" spans="2:2" x14ac:dyDescent="0.2">
      <c r="B118" s="244"/>
    </row>
    <row r="119" spans="2:2" x14ac:dyDescent="0.2">
      <c r="B119" s="158"/>
    </row>
    <row r="120" spans="2:2" x14ac:dyDescent="0.2">
      <c r="B120" s="158"/>
    </row>
    <row r="121" spans="2:2" x14ac:dyDescent="0.2">
      <c r="B121" s="158"/>
    </row>
    <row r="123" spans="2:2" x14ac:dyDescent="0.2">
      <c r="B123" s="290"/>
    </row>
    <row r="124" spans="2:2" x14ac:dyDescent="0.2">
      <c r="B124" s="133"/>
    </row>
    <row r="125" spans="2:2" x14ac:dyDescent="0.2">
      <c r="B125" s="128"/>
    </row>
    <row r="139" ht="13.35" customHeight="1" x14ac:dyDescent="0.2"/>
    <row r="140" ht="15" customHeight="1" x14ac:dyDescent="0.2"/>
    <row r="145" spans="2:2" ht="12.75" customHeight="1" x14ac:dyDescent="0.2"/>
    <row r="149" spans="2:2" x14ac:dyDescent="0.2">
      <c r="B149" s="244"/>
    </row>
    <row r="150" spans="2:2" x14ac:dyDescent="0.2">
      <c r="B150" s="158"/>
    </row>
    <row r="151" spans="2:2" x14ac:dyDescent="0.2">
      <c r="B151" s="158"/>
    </row>
    <row r="152" spans="2:2" x14ac:dyDescent="0.2">
      <c r="B152" s="158"/>
    </row>
  </sheetData>
  <mergeCells count="8">
    <mergeCell ref="B25:F26"/>
    <mergeCell ref="D27:E27"/>
    <mergeCell ref="H30:K30"/>
    <mergeCell ref="B1:F2"/>
    <mergeCell ref="H1:K1"/>
    <mergeCell ref="I3:J3"/>
    <mergeCell ref="H14:K14"/>
    <mergeCell ref="H15:K15"/>
  </mergeCells>
  <pageMargins left="0.7" right="0.7" top="0.15312500000000001" bottom="0.75" header="0.3" footer="0.3"/>
  <pageSetup scale="40" fitToHeight="0" orientation="portrait" r:id="rId1"/>
  <headerFooter scaleWithDoc="0" alignWithMargins="0">
    <oddFooter>&amp;R2016-04-12
&amp;A
Caring Together rate review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EFCE-60D6-42DF-A51E-6935DFC579D0}">
  <sheetPr>
    <pageSetUpPr fitToPage="1"/>
  </sheetPr>
  <dimension ref="A1:U39"/>
  <sheetViews>
    <sheetView zoomScale="90" zoomScaleNormal="90" workbookViewId="0">
      <selection activeCell="G39" sqref="G39"/>
    </sheetView>
  </sheetViews>
  <sheetFormatPr defaultRowHeight="15" x14ac:dyDescent="0.25"/>
  <cols>
    <col min="1" max="1" width="38.42578125" customWidth="1"/>
    <col min="2" max="2" width="16.140625" style="39" customWidth="1"/>
    <col min="3" max="3" width="13.140625" style="119" customWidth="1"/>
    <col min="4" max="4" width="15.140625" style="39" bestFit="1" customWidth="1"/>
    <col min="5" max="7" width="15.140625" style="39" customWidth="1"/>
    <col min="8" max="8" width="17.85546875" style="39" customWidth="1"/>
    <col min="9" max="9" width="17.140625" style="39" customWidth="1"/>
    <col min="10" max="10" width="15.140625" style="39" customWidth="1"/>
    <col min="11" max="11" width="17.85546875" style="39" customWidth="1"/>
    <col min="12" max="12" width="15" style="39" bestFit="1" customWidth="1"/>
    <col min="13" max="14" width="22.5703125" style="39" customWidth="1"/>
    <col min="15" max="15" width="10.140625" style="39" customWidth="1"/>
    <col min="16" max="16" width="28" customWidth="1"/>
    <col min="17" max="17" width="1.140625" customWidth="1"/>
    <col min="18" max="18" width="14.85546875" customWidth="1"/>
    <col min="19" max="19" width="12" bestFit="1" customWidth="1"/>
    <col min="21" max="21" width="8.85546875" customWidth="1"/>
    <col min="24" max="25" width="10" bestFit="1" customWidth="1"/>
  </cols>
  <sheetData>
    <row r="1" spans="1:21" ht="15.75" thickBot="1" x14ac:dyDescent="0.3">
      <c r="A1" s="958" t="s">
        <v>120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38"/>
    </row>
    <row r="2" spans="1:21" ht="75.75" thickBot="1" x14ac:dyDescent="0.3">
      <c r="A2" s="40"/>
      <c r="B2" s="41" t="s">
        <v>121</v>
      </c>
      <c r="C2" s="42" t="s">
        <v>122</v>
      </c>
      <c r="D2" s="42" t="s">
        <v>123</v>
      </c>
      <c r="E2" s="42" t="s">
        <v>124</v>
      </c>
      <c r="F2" s="42" t="s">
        <v>125</v>
      </c>
      <c r="G2" s="42" t="s">
        <v>126</v>
      </c>
      <c r="H2" s="43" t="s">
        <v>127</v>
      </c>
      <c r="I2" s="43" t="s">
        <v>128</v>
      </c>
      <c r="J2" s="42" t="s">
        <v>129</v>
      </c>
      <c r="K2" s="42" t="s">
        <v>130</v>
      </c>
      <c r="L2" s="959" t="s">
        <v>131</v>
      </c>
      <c r="M2" s="960"/>
      <c r="N2" s="187"/>
    </row>
    <row r="3" spans="1:21" s="39" customFormat="1" x14ac:dyDescent="0.25">
      <c r="A3" s="44" t="s">
        <v>132</v>
      </c>
      <c r="B3" s="45">
        <f>'[22]M2021 BLS  SALARY CHART 53_PCT'!D6</f>
        <v>39521.664000000004</v>
      </c>
      <c r="C3" s="45">
        <f>'[22]M2021 BLS  SALARY CHART 53_PCT'!D10</f>
        <v>37457.471999999994</v>
      </c>
      <c r="D3" s="45">
        <f>'[22]M2021 BLS  SALARY CHART 53_PCT'!D8</f>
        <v>50421.529600000002</v>
      </c>
      <c r="E3" s="45">
        <f>'[22]M2021 BLS  SALARY CHART 53_PCT'!D24</f>
        <v>80392.207999999999</v>
      </c>
      <c r="F3" s="45">
        <f>'[22]M2021 BLS  SALARY CHART 53_PCT'!D47</f>
        <v>66454</v>
      </c>
      <c r="G3" s="45">
        <f>'[22]M2021 BLS  SALARY CHART 53_PCT'!D14</f>
        <v>63585</v>
      </c>
      <c r="H3" s="45">
        <f>'[22]M2021 BLS  SALARY CHART 53_PCT'!D16</f>
        <v>60494.720000000001</v>
      </c>
      <c r="I3" s="45">
        <f>'[22]M2021 BLS  SALARY CHART 53_PCT'!D32</f>
        <v>97987.135999999999</v>
      </c>
      <c r="J3" s="45">
        <f>'[22]M2021 BLS  SALARY CHART 53_PCT'!D18</f>
        <v>73170.656000000003</v>
      </c>
      <c r="K3" s="45">
        <f>'[22]M2021 BLS  SALARY CHART 53_PCT'!D12</f>
        <v>50729</v>
      </c>
      <c r="L3" s="952" t="s">
        <v>133</v>
      </c>
      <c r="M3" s="953"/>
      <c r="N3" s="40"/>
      <c r="P3" s="46"/>
      <c r="Q3"/>
      <c r="R3" s="47"/>
      <c r="S3"/>
      <c r="T3"/>
      <c r="U3"/>
    </row>
    <row r="4" spans="1:21" s="39" customFormat="1" x14ac:dyDescent="0.25">
      <c r="A4" s="48" t="s">
        <v>134</v>
      </c>
      <c r="B4" s="49">
        <f>'[21]M2021 BLS SALARY CHART (53_PCT)'!$C$38</f>
        <v>0.25390000000000001</v>
      </c>
      <c r="C4" s="49">
        <f>'[21]M2021 BLS SALARY CHART (53_PCT)'!$C$38</f>
        <v>0.25390000000000001</v>
      </c>
      <c r="D4" s="49">
        <f>'[21]M2021 BLS SALARY CHART (53_PCT)'!$C$38</f>
        <v>0.25390000000000001</v>
      </c>
      <c r="E4" s="49">
        <f>'[21]M2021 BLS SALARY CHART (53_PCT)'!$C$38</f>
        <v>0.25390000000000001</v>
      </c>
      <c r="F4" s="49">
        <f>'[21]M2021 BLS SALARY CHART (53_PCT)'!$C$38</f>
        <v>0.25390000000000001</v>
      </c>
      <c r="G4" s="49">
        <f>'[21]M2021 BLS SALARY CHART (53_PCT)'!$C$38</f>
        <v>0.25390000000000001</v>
      </c>
      <c r="H4" s="49">
        <f>'[21]M2021 BLS SALARY CHART (53_PCT)'!$C$38</f>
        <v>0.25390000000000001</v>
      </c>
      <c r="I4" s="49">
        <f>'[21]M2021 BLS SALARY CHART (53_PCT)'!$C$38</f>
        <v>0.25390000000000001</v>
      </c>
      <c r="J4" s="49">
        <f>'[21]M2021 BLS SALARY CHART (53_PCT)'!$C$38</f>
        <v>0.25390000000000001</v>
      </c>
      <c r="K4" s="49">
        <f>'[21]M2021 BLS SALARY CHART (53_PCT)'!$C$38</f>
        <v>0.25390000000000001</v>
      </c>
      <c r="L4" s="954" t="s">
        <v>218</v>
      </c>
      <c r="M4" s="955"/>
      <c r="N4" s="40"/>
      <c r="P4" s="46"/>
      <c r="Q4"/>
      <c r="R4" s="47"/>
      <c r="S4"/>
      <c r="T4"/>
      <c r="U4"/>
    </row>
    <row r="5" spans="1:21" s="39" customFormat="1" x14ac:dyDescent="0.25">
      <c r="A5" s="48" t="s">
        <v>135</v>
      </c>
      <c r="B5" s="50">
        <f>B3*B4</f>
        <v>10034.550489600002</v>
      </c>
      <c r="C5" s="50">
        <f t="shared" ref="C5:K5" si="0">C3*C4</f>
        <v>9510.4521407999982</v>
      </c>
      <c r="D5" s="50">
        <f t="shared" si="0"/>
        <v>12802.026365440001</v>
      </c>
      <c r="E5" s="50">
        <f t="shared" si="0"/>
        <v>20411.581611199999</v>
      </c>
      <c r="F5" s="50">
        <f>F3*F4</f>
        <v>16872.670600000001</v>
      </c>
      <c r="G5" s="50">
        <f t="shared" si="0"/>
        <v>16144.231500000002</v>
      </c>
      <c r="H5" s="50">
        <f t="shared" si="0"/>
        <v>15359.609408000002</v>
      </c>
      <c r="I5" s="50">
        <f t="shared" si="0"/>
        <v>24878.933830400001</v>
      </c>
      <c r="J5" s="50">
        <f t="shared" si="0"/>
        <v>18578.029558400001</v>
      </c>
      <c r="K5" s="50">
        <f t="shared" si="0"/>
        <v>12880.0931</v>
      </c>
      <c r="L5" s="51"/>
      <c r="M5" s="52"/>
      <c r="N5" s="51"/>
      <c r="P5" s="46"/>
      <c r="Q5"/>
      <c r="R5" s="47"/>
      <c r="S5"/>
      <c r="T5"/>
      <c r="U5"/>
    </row>
    <row r="6" spans="1:21" s="39" customFormat="1" x14ac:dyDescent="0.25">
      <c r="A6" s="48" t="s">
        <v>136</v>
      </c>
      <c r="B6" s="50">
        <f t="shared" ref="B6:K6" si="1">B3+B5</f>
        <v>49556.21448960001</v>
      </c>
      <c r="C6" s="50">
        <f t="shared" si="1"/>
        <v>46967.924140799994</v>
      </c>
      <c r="D6" s="50">
        <f t="shared" si="1"/>
        <v>63223.555965439999</v>
      </c>
      <c r="E6" s="50">
        <f t="shared" si="1"/>
        <v>100803.7896112</v>
      </c>
      <c r="F6" s="50">
        <f t="shared" si="1"/>
        <v>83326.670599999998</v>
      </c>
      <c r="G6" s="50">
        <f t="shared" si="1"/>
        <v>79729.231499999994</v>
      </c>
      <c r="H6" s="50">
        <f t="shared" si="1"/>
        <v>75854.329408000005</v>
      </c>
      <c r="I6" s="50">
        <f t="shared" si="1"/>
        <v>122866.0698304</v>
      </c>
      <c r="J6" s="50">
        <f t="shared" si="1"/>
        <v>91748.6855584</v>
      </c>
      <c r="K6" s="50">
        <f t="shared" si="1"/>
        <v>63609.093099999998</v>
      </c>
      <c r="L6" s="51"/>
      <c r="M6" s="52"/>
      <c r="N6" s="51"/>
      <c r="P6" s="46"/>
      <c r="Q6"/>
      <c r="R6" s="47"/>
      <c r="S6"/>
      <c r="T6"/>
      <c r="U6"/>
    </row>
    <row r="7" spans="1:21" s="39" customFormat="1" x14ac:dyDescent="0.25">
      <c r="A7" s="48" t="s">
        <v>137</v>
      </c>
      <c r="B7" s="53">
        <f t="shared" ref="B7:K7" si="2">B6*$O$22</f>
        <v>1377.6627628108802</v>
      </c>
      <c r="C7" s="53">
        <f t="shared" si="2"/>
        <v>1305.7082911142397</v>
      </c>
      <c r="D7" s="53">
        <f t="shared" si="2"/>
        <v>1757.614855839232</v>
      </c>
      <c r="E7" s="53">
        <f t="shared" si="2"/>
        <v>2802.3453511913599</v>
      </c>
      <c r="F7" s="53">
        <f t="shared" si="2"/>
        <v>2316.4814426799999</v>
      </c>
      <c r="G7" s="53">
        <f t="shared" si="2"/>
        <v>2216.4726356999995</v>
      </c>
      <c r="H7" s="53">
        <f t="shared" si="2"/>
        <v>2108.7503575423998</v>
      </c>
      <c r="I7" s="53">
        <f t="shared" si="2"/>
        <v>3415.6767412851195</v>
      </c>
      <c r="J7" s="53">
        <f t="shared" si="2"/>
        <v>2550.61345852352</v>
      </c>
      <c r="K7" s="53">
        <f t="shared" si="2"/>
        <v>1768.3327881799999</v>
      </c>
      <c r="L7" s="54"/>
      <c r="M7" s="55"/>
      <c r="N7" s="54"/>
      <c r="P7" s="46"/>
      <c r="Q7"/>
      <c r="R7" s="47"/>
      <c r="S7"/>
      <c r="T7"/>
      <c r="U7"/>
    </row>
    <row r="8" spans="1:21" s="39" customFormat="1" x14ac:dyDescent="0.25">
      <c r="A8" s="48" t="s">
        <v>138</v>
      </c>
      <c r="B8" s="50">
        <f t="shared" ref="B8:K8" si="3">B7+B6</f>
        <v>50933.877252410894</v>
      </c>
      <c r="C8" s="50">
        <f t="shared" si="3"/>
        <v>48273.632431914237</v>
      </c>
      <c r="D8" s="50">
        <f t="shared" si="3"/>
        <v>64981.170821279229</v>
      </c>
      <c r="E8" s="50">
        <f t="shared" si="3"/>
        <v>103606.13496239136</v>
      </c>
      <c r="F8" s="50">
        <f t="shared" si="3"/>
        <v>85643.152042679998</v>
      </c>
      <c r="G8" s="50">
        <f t="shared" si="3"/>
        <v>81945.704135699998</v>
      </c>
      <c r="H8" s="50">
        <f t="shared" si="3"/>
        <v>77963.07976554241</v>
      </c>
      <c r="I8" s="50">
        <f t="shared" si="3"/>
        <v>126281.74657168511</v>
      </c>
      <c r="J8" s="50">
        <f t="shared" si="3"/>
        <v>94299.299016923527</v>
      </c>
      <c r="K8" s="50">
        <f t="shared" si="3"/>
        <v>65377.425888179998</v>
      </c>
      <c r="L8" s="40"/>
      <c r="M8" s="56"/>
      <c r="N8" s="40"/>
      <c r="P8" s="46"/>
      <c r="Q8"/>
      <c r="S8"/>
      <c r="T8"/>
      <c r="U8"/>
    </row>
    <row r="9" spans="1:21" ht="15.75" thickBot="1" x14ac:dyDescent="0.3">
      <c r="A9" s="48"/>
      <c r="B9" s="57"/>
      <c r="C9" s="57"/>
      <c r="D9" s="57"/>
      <c r="E9" s="57"/>
      <c r="F9" s="57"/>
      <c r="G9" s="57"/>
      <c r="H9" s="57"/>
      <c r="I9" s="57"/>
      <c r="J9" s="57"/>
      <c r="K9" s="57"/>
      <c r="L9" s="58">
        <f>O22</f>
        <v>2.7799999999999998E-2</v>
      </c>
      <c r="M9" s="59"/>
      <c r="N9" s="60"/>
      <c r="P9" s="46"/>
    </row>
    <row r="10" spans="1:21" ht="16.5" thickTop="1" thickBot="1" x14ac:dyDescent="0.3">
      <c r="A10" s="61" t="s">
        <v>139</v>
      </c>
      <c r="B10" s="62">
        <f>B8/12</f>
        <v>4244.4897710342411</v>
      </c>
      <c r="C10" s="62">
        <f t="shared" ref="C10:K10" si="4">C8/12</f>
        <v>4022.8027026595196</v>
      </c>
      <c r="D10" s="62">
        <f t="shared" si="4"/>
        <v>5415.0975684399355</v>
      </c>
      <c r="E10" s="62">
        <f t="shared" si="4"/>
        <v>8633.8445801992802</v>
      </c>
      <c r="F10" s="62">
        <f t="shared" si="4"/>
        <v>7136.9293368899998</v>
      </c>
      <c r="G10" s="62">
        <f t="shared" si="4"/>
        <v>6828.8086779750001</v>
      </c>
      <c r="H10" s="62">
        <f t="shared" si="4"/>
        <v>6496.9233137952006</v>
      </c>
      <c r="I10" s="62">
        <f t="shared" si="4"/>
        <v>10523.47888097376</v>
      </c>
      <c r="J10" s="62">
        <f t="shared" si="4"/>
        <v>7858.2749180769606</v>
      </c>
      <c r="K10" s="62">
        <f t="shared" si="4"/>
        <v>5448.1188240149995</v>
      </c>
      <c r="L10" s="63"/>
      <c r="M10" s="64"/>
      <c r="N10" s="54"/>
      <c r="P10" s="46"/>
      <c r="R10" s="47"/>
    </row>
    <row r="11" spans="1:21" ht="15.75" thickBot="1" x14ac:dyDescent="0.3">
      <c r="A11" s="61" t="s">
        <v>140</v>
      </c>
      <c r="B11" s="62">
        <f>B10*0.75</f>
        <v>3183.3673282756808</v>
      </c>
      <c r="C11" s="62">
        <f t="shared" ref="C11:K11" si="5">C10*0.75</f>
        <v>3017.1020269946398</v>
      </c>
      <c r="D11" s="62">
        <f t="shared" si="5"/>
        <v>4061.3231763299518</v>
      </c>
      <c r="E11" s="62">
        <f t="shared" si="5"/>
        <v>6475.3834351494606</v>
      </c>
      <c r="F11" s="62">
        <f>F10*0.75</f>
        <v>5352.6970026674999</v>
      </c>
      <c r="G11" s="62">
        <f t="shared" si="5"/>
        <v>5121.6065084812499</v>
      </c>
      <c r="H11" s="62">
        <f t="shared" si="5"/>
        <v>4872.6924853464006</v>
      </c>
      <c r="I11" s="62">
        <f t="shared" si="5"/>
        <v>7892.6091607303206</v>
      </c>
      <c r="J11" s="62">
        <f t="shared" si="5"/>
        <v>5893.7061885577205</v>
      </c>
      <c r="K11" s="62">
        <f t="shared" si="5"/>
        <v>4086.0891180112494</v>
      </c>
      <c r="L11" s="63"/>
      <c r="M11" s="64"/>
      <c r="N11" s="54"/>
      <c r="P11" s="46"/>
      <c r="R11" s="47"/>
    </row>
    <row r="12" spans="1:21" ht="15.75" thickBot="1" x14ac:dyDescent="0.3">
      <c r="A12" s="61" t="s">
        <v>141</v>
      </c>
      <c r="B12" s="62">
        <f>B10*0.5</f>
        <v>2122.2448855171206</v>
      </c>
      <c r="C12" s="62">
        <f t="shared" ref="C12:K12" si="6">C10*0.5</f>
        <v>2011.4013513297598</v>
      </c>
      <c r="D12" s="62">
        <f t="shared" si="6"/>
        <v>2707.5487842199677</v>
      </c>
      <c r="E12" s="62">
        <f t="shared" si="6"/>
        <v>4316.9222900996401</v>
      </c>
      <c r="F12" s="62">
        <f>F10*0.5</f>
        <v>3568.4646684449999</v>
      </c>
      <c r="G12" s="62">
        <f t="shared" si="6"/>
        <v>3414.4043389875001</v>
      </c>
      <c r="H12" s="62">
        <f t="shared" si="6"/>
        <v>3248.4616568976003</v>
      </c>
      <c r="I12" s="62">
        <f t="shared" si="6"/>
        <v>5261.7394404868801</v>
      </c>
      <c r="J12" s="62">
        <f t="shared" si="6"/>
        <v>3929.1374590384803</v>
      </c>
      <c r="K12" s="62">
        <f t="shared" si="6"/>
        <v>2724.0594120074998</v>
      </c>
      <c r="L12" s="63"/>
      <c r="M12" s="64"/>
      <c r="N12" s="54"/>
      <c r="P12" s="46"/>
      <c r="R12" s="47"/>
    </row>
    <row r="13" spans="1:21" ht="15.75" thickBot="1" x14ac:dyDescent="0.3">
      <c r="A13" s="61" t="s">
        <v>142</v>
      </c>
      <c r="B13" s="62">
        <f>B10*0.25</f>
        <v>1061.1224427585603</v>
      </c>
      <c r="C13" s="62">
        <f t="shared" ref="C13:K13" si="7">C10*0.25</f>
        <v>1005.7006756648799</v>
      </c>
      <c r="D13" s="62">
        <f t="shared" si="7"/>
        <v>1353.7743921099839</v>
      </c>
      <c r="E13" s="62">
        <f t="shared" si="7"/>
        <v>2158.4611450498201</v>
      </c>
      <c r="F13" s="62">
        <f>F10*0.25</f>
        <v>1784.2323342225</v>
      </c>
      <c r="G13" s="62">
        <f t="shared" si="7"/>
        <v>1707.20216949375</v>
      </c>
      <c r="H13" s="62">
        <f t="shared" si="7"/>
        <v>1624.2308284488001</v>
      </c>
      <c r="I13" s="62">
        <f t="shared" si="7"/>
        <v>2630.86972024344</v>
      </c>
      <c r="J13" s="62">
        <f t="shared" si="7"/>
        <v>1964.5687295192402</v>
      </c>
      <c r="K13" s="62">
        <f t="shared" si="7"/>
        <v>1362.0297060037499</v>
      </c>
      <c r="L13" s="63"/>
      <c r="M13" s="64"/>
      <c r="N13" s="54"/>
      <c r="P13" s="46"/>
      <c r="R13" s="47"/>
    </row>
    <row r="14" spans="1:21" x14ac:dyDescent="0.25">
      <c r="B14" s="65"/>
      <c r="C14" s="65"/>
      <c r="D14" s="65"/>
      <c r="E14" s="65"/>
      <c r="F14" s="65"/>
      <c r="G14" s="65"/>
      <c r="H14" s="65"/>
      <c r="I14" s="65"/>
      <c r="J14" s="65"/>
      <c r="K14" s="65"/>
      <c r="P14" s="46"/>
      <c r="R14" s="47"/>
    </row>
    <row r="15" spans="1:21" x14ac:dyDescent="0.25">
      <c r="A15" s="961"/>
      <c r="B15" s="958"/>
      <c r="C15" s="958"/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38"/>
      <c r="O15" s="67"/>
      <c r="P15" s="67"/>
      <c r="Q15" s="67"/>
      <c r="R15" s="47"/>
    </row>
    <row r="16" spans="1:21" ht="15" customHeight="1" thickBot="1" x14ac:dyDescent="0.35">
      <c r="A16" s="68"/>
      <c r="B16" s="69"/>
      <c r="C16" s="69"/>
      <c r="D16" s="66"/>
      <c r="E16" s="70"/>
      <c r="F16" s="66"/>
      <c r="G16" s="66"/>
      <c r="H16" s="66"/>
      <c r="I16" s="66"/>
      <c r="J16" s="962"/>
      <c r="K16" s="962"/>
      <c r="L16" s="67"/>
      <c r="M16" s="67"/>
      <c r="N16" s="67"/>
      <c r="O16"/>
      <c r="R16" s="47"/>
    </row>
    <row r="17" spans="1:20" ht="75.75" thickBot="1" x14ac:dyDescent="0.3">
      <c r="A17" s="40"/>
      <c r="B17" s="71" t="s">
        <v>121</v>
      </c>
      <c r="C17" s="72" t="s">
        <v>122</v>
      </c>
      <c r="D17" s="72" t="s">
        <v>123</v>
      </c>
      <c r="E17" s="72" t="s">
        <v>124</v>
      </c>
      <c r="F17" s="72" t="s">
        <v>125</v>
      </c>
      <c r="G17" s="72" t="s">
        <v>143</v>
      </c>
      <c r="H17" s="73" t="s">
        <v>127</v>
      </c>
      <c r="I17" s="73" t="s">
        <v>128</v>
      </c>
      <c r="J17" s="72" t="s">
        <v>144</v>
      </c>
      <c r="K17" s="72" t="s">
        <v>130</v>
      </c>
      <c r="L17" s="72" t="s">
        <v>145</v>
      </c>
      <c r="M17" s="72" t="s">
        <v>146</v>
      </c>
      <c r="N17" s="72" t="s">
        <v>147</v>
      </c>
      <c r="O17" s="950" t="s">
        <v>131</v>
      </c>
      <c r="P17" s="951"/>
      <c r="R17" s="47"/>
    </row>
    <row r="18" spans="1:20" x14ac:dyDescent="0.25">
      <c r="A18" s="44" t="s">
        <v>132</v>
      </c>
      <c r="B18" s="45">
        <f t="shared" ref="B18:K18" si="8">B3</f>
        <v>39521.664000000004</v>
      </c>
      <c r="C18" s="45">
        <f t="shared" si="8"/>
        <v>37457.471999999994</v>
      </c>
      <c r="D18" s="45">
        <f t="shared" si="8"/>
        <v>50421.529600000002</v>
      </c>
      <c r="E18" s="45">
        <f t="shared" si="8"/>
        <v>80392.207999999999</v>
      </c>
      <c r="F18" s="45">
        <f t="shared" si="8"/>
        <v>66454</v>
      </c>
      <c r="G18" s="45">
        <f t="shared" si="8"/>
        <v>63585</v>
      </c>
      <c r="H18" s="45">
        <f t="shared" si="8"/>
        <v>60494.720000000001</v>
      </c>
      <c r="I18" s="45">
        <f t="shared" si="8"/>
        <v>97987.135999999999</v>
      </c>
      <c r="J18" s="45">
        <f t="shared" si="8"/>
        <v>73170.656000000003</v>
      </c>
      <c r="K18" s="45">
        <f t="shared" si="8"/>
        <v>50729</v>
      </c>
      <c r="L18" s="45">
        <f>'[21]M2021 BLS SALARY CHART (53_PCT)'!C34</f>
        <v>128978.304</v>
      </c>
      <c r="M18" s="45">
        <f>'[21]M2021 BLS SALARY CHART (53_PCT)'!C44*0.75+'[21]M2021 BLS SALARY CHART (53_PCT)'!C28*0.25</f>
        <v>207790.72399999999</v>
      </c>
      <c r="N18" s="45">
        <f>'[21]M2021 BLS SALARY CHART (53_PCT)'!C44</f>
        <v>247150</v>
      </c>
      <c r="O18" s="952" t="s">
        <v>133</v>
      </c>
      <c r="P18" s="953"/>
      <c r="R18" s="47"/>
    </row>
    <row r="19" spans="1:20" x14ac:dyDescent="0.25">
      <c r="A19" s="48" t="s">
        <v>134</v>
      </c>
      <c r="B19" s="49">
        <f t="shared" ref="B19:K19" si="9">B4</f>
        <v>0.25390000000000001</v>
      </c>
      <c r="C19" s="49">
        <f t="shared" si="9"/>
        <v>0.25390000000000001</v>
      </c>
      <c r="D19" s="49">
        <f t="shared" si="9"/>
        <v>0.25390000000000001</v>
      </c>
      <c r="E19" s="49">
        <f t="shared" si="9"/>
        <v>0.25390000000000001</v>
      </c>
      <c r="F19" s="49">
        <f t="shared" si="9"/>
        <v>0.25390000000000001</v>
      </c>
      <c r="G19" s="49">
        <f t="shared" si="9"/>
        <v>0.25390000000000001</v>
      </c>
      <c r="H19" s="49">
        <f t="shared" si="9"/>
        <v>0.25390000000000001</v>
      </c>
      <c r="I19" s="49">
        <f t="shared" si="9"/>
        <v>0.25390000000000001</v>
      </c>
      <c r="J19" s="49">
        <f t="shared" si="9"/>
        <v>0.25390000000000001</v>
      </c>
      <c r="K19" s="49">
        <f t="shared" si="9"/>
        <v>0.25390000000000001</v>
      </c>
      <c r="L19" s="49">
        <f>K19</f>
        <v>0.25390000000000001</v>
      </c>
      <c r="M19" s="49">
        <f>L19</f>
        <v>0.25390000000000001</v>
      </c>
      <c r="N19" s="49">
        <f>M19</f>
        <v>0.25390000000000001</v>
      </c>
      <c r="O19" s="954" t="str">
        <f>L4</f>
        <v>Commonwealth FY24 Rate</v>
      </c>
      <c r="P19" s="955"/>
      <c r="R19" s="47"/>
    </row>
    <row r="20" spans="1:20" x14ac:dyDescent="0.25">
      <c r="A20" s="48" t="s">
        <v>135</v>
      </c>
      <c r="B20" s="50">
        <f t="shared" ref="B20:N20" si="10">B18*B19</f>
        <v>10034.550489600002</v>
      </c>
      <c r="C20" s="50">
        <f t="shared" si="10"/>
        <v>9510.4521407999982</v>
      </c>
      <c r="D20" s="50">
        <f t="shared" si="10"/>
        <v>12802.026365440001</v>
      </c>
      <c r="E20" s="50">
        <f t="shared" si="10"/>
        <v>20411.581611199999</v>
      </c>
      <c r="F20" s="50">
        <f>F18*F19</f>
        <v>16872.670600000001</v>
      </c>
      <c r="G20" s="50">
        <f t="shared" si="10"/>
        <v>16144.231500000002</v>
      </c>
      <c r="H20" s="50">
        <f t="shared" si="10"/>
        <v>15359.609408000002</v>
      </c>
      <c r="I20" s="50">
        <f t="shared" si="10"/>
        <v>24878.933830400001</v>
      </c>
      <c r="J20" s="50">
        <f t="shared" si="10"/>
        <v>18578.029558400001</v>
      </c>
      <c r="K20" s="50">
        <f t="shared" si="10"/>
        <v>12880.0931</v>
      </c>
      <c r="L20" s="50">
        <f t="shared" si="10"/>
        <v>32747.591385600004</v>
      </c>
      <c r="M20" s="50">
        <f t="shared" si="10"/>
        <v>52758.064823599998</v>
      </c>
      <c r="N20" s="50">
        <f t="shared" si="10"/>
        <v>62751.385000000002</v>
      </c>
      <c r="O20" s="956"/>
      <c r="P20" s="957"/>
      <c r="R20" s="47"/>
      <c r="T20" s="74"/>
    </row>
    <row r="21" spans="1:20" x14ac:dyDescent="0.25">
      <c r="A21" s="48" t="s">
        <v>136</v>
      </c>
      <c r="B21" s="50">
        <f>B18+B20</f>
        <v>49556.21448960001</v>
      </c>
      <c r="C21" s="50">
        <f t="shared" ref="C21:N21" si="11">C18+C20</f>
        <v>46967.924140799994</v>
      </c>
      <c r="D21" s="50">
        <f t="shared" si="11"/>
        <v>63223.555965439999</v>
      </c>
      <c r="E21" s="50">
        <f t="shared" si="11"/>
        <v>100803.7896112</v>
      </c>
      <c r="F21" s="50">
        <f>F18+F20</f>
        <v>83326.670599999998</v>
      </c>
      <c r="G21" s="50">
        <f t="shared" si="11"/>
        <v>79729.231499999994</v>
      </c>
      <c r="H21" s="50">
        <f t="shared" si="11"/>
        <v>75854.329408000005</v>
      </c>
      <c r="I21" s="50">
        <f t="shared" si="11"/>
        <v>122866.0698304</v>
      </c>
      <c r="J21" s="50">
        <f t="shared" si="11"/>
        <v>91748.6855584</v>
      </c>
      <c r="K21" s="50">
        <f t="shared" si="11"/>
        <v>63609.093099999998</v>
      </c>
      <c r="L21" s="50">
        <f t="shared" si="11"/>
        <v>161725.89538560002</v>
      </c>
      <c r="M21" s="50">
        <f t="shared" si="11"/>
        <v>260548.78882359999</v>
      </c>
      <c r="N21" s="50">
        <f t="shared" si="11"/>
        <v>309901.38500000001</v>
      </c>
      <c r="O21" s="956"/>
      <c r="P21" s="957"/>
      <c r="R21" s="47"/>
    </row>
    <row r="22" spans="1:20" x14ac:dyDescent="0.25">
      <c r="A22" s="48" t="s">
        <v>137</v>
      </c>
      <c r="B22" s="53">
        <f>B21*$O$22</f>
        <v>1377.6627628108802</v>
      </c>
      <c r="C22" s="53">
        <f t="shared" ref="C22:N22" si="12">C21*$O$22</f>
        <v>1305.7082911142397</v>
      </c>
      <c r="D22" s="53">
        <f t="shared" si="12"/>
        <v>1757.614855839232</v>
      </c>
      <c r="E22" s="53">
        <f t="shared" si="12"/>
        <v>2802.3453511913599</v>
      </c>
      <c r="F22" s="53">
        <f t="shared" si="12"/>
        <v>2316.4814426799999</v>
      </c>
      <c r="G22" s="53">
        <f t="shared" si="12"/>
        <v>2216.4726356999995</v>
      </c>
      <c r="H22" s="53">
        <f t="shared" si="12"/>
        <v>2108.7503575423998</v>
      </c>
      <c r="I22" s="53">
        <f t="shared" si="12"/>
        <v>3415.6767412851195</v>
      </c>
      <c r="J22" s="53">
        <f t="shared" si="12"/>
        <v>2550.61345852352</v>
      </c>
      <c r="K22" s="53">
        <f t="shared" si="12"/>
        <v>1768.3327881799999</v>
      </c>
      <c r="L22" s="53">
        <f t="shared" si="12"/>
        <v>4495.9798917196804</v>
      </c>
      <c r="M22" s="53">
        <f t="shared" si="12"/>
        <v>7243.2563292960795</v>
      </c>
      <c r="N22" s="53">
        <f t="shared" si="12"/>
        <v>8615.2585029999991</v>
      </c>
      <c r="O22" s="54">
        <v>2.7799999999999998E-2</v>
      </c>
      <c r="P22" s="75"/>
      <c r="R22" s="47"/>
    </row>
    <row r="23" spans="1:20" x14ac:dyDescent="0.25">
      <c r="A23" s="48" t="s">
        <v>138</v>
      </c>
      <c r="B23" s="50">
        <f>B22+B21</f>
        <v>50933.877252410894</v>
      </c>
      <c r="C23" s="50">
        <f t="shared" ref="C23:N23" si="13">C22+C21</f>
        <v>48273.632431914237</v>
      </c>
      <c r="D23" s="50">
        <f t="shared" si="13"/>
        <v>64981.170821279229</v>
      </c>
      <c r="E23" s="50">
        <f t="shared" si="13"/>
        <v>103606.13496239136</v>
      </c>
      <c r="F23" s="50">
        <f>F22+F21</f>
        <v>85643.152042679998</v>
      </c>
      <c r="G23" s="50">
        <f t="shared" si="13"/>
        <v>81945.704135699998</v>
      </c>
      <c r="H23" s="50">
        <f t="shared" si="13"/>
        <v>77963.07976554241</v>
      </c>
      <c r="I23" s="50">
        <f t="shared" si="13"/>
        <v>126281.74657168511</v>
      </c>
      <c r="J23" s="50">
        <f t="shared" si="13"/>
        <v>94299.299016923527</v>
      </c>
      <c r="K23" s="50">
        <f t="shared" si="13"/>
        <v>65377.425888179998</v>
      </c>
      <c r="L23" s="50">
        <f t="shared" si="13"/>
        <v>166221.87527731969</v>
      </c>
      <c r="M23" s="50">
        <f t="shared" si="13"/>
        <v>267792.04515289608</v>
      </c>
      <c r="N23" s="50">
        <f t="shared" si="13"/>
        <v>318516.64350300003</v>
      </c>
      <c r="O23" s="40"/>
      <c r="P23" s="56"/>
      <c r="R23" s="47"/>
    </row>
    <row r="24" spans="1:20" x14ac:dyDescent="0.25">
      <c r="A24" s="48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P24" s="55"/>
      <c r="R24" s="47"/>
    </row>
    <row r="25" spans="1:20" ht="15.75" thickBot="1" x14ac:dyDescent="0.3">
      <c r="A25" s="48" t="s">
        <v>148</v>
      </c>
      <c r="B25" s="76">
        <f>D38</f>
        <v>1952</v>
      </c>
      <c r="C25" s="76">
        <f>$D$38</f>
        <v>1952</v>
      </c>
      <c r="D25" s="76">
        <f>$D$38</f>
        <v>1952</v>
      </c>
      <c r="E25" s="76">
        <f>M38</f>
        <v>1760</v>
      </c>
      <c r="F25" s="76">
        <f>M38</f>
        <v>1760</v>
      </c>
      <c r="G25" s="76">
        <f>M38</f>
        <v>1760</v>
      </c>
      <c r="H25" s="76">
        <f t="shared" ref="H25:N25" si="14">$M$38</f>
        <v>1760</v>
      </c>
      <c r="I25" s="76">
        <f t="shared" si="14"/>
        <v>1760</v>
      </c>
      <c r="J25" s="76">
        <f t="shared" si="14"/>
        <v>1760</v>
      </c>
      <c r="K25" s="76">
        <f t="shared" si="14"/>
        <v>1760</v>
      </c>
      <c r="L25" s="76">
        <f t="shared" si="14"/>
        <v>1760</v>
      </c>
      <c r="M25" s="76">
        <f t="shared" si="14"/>
        <v>1760</v>
      </c>
      <c r="N25" s="76">
        <f t="shared" si="14"/>
        <v>1760</v>
      </c>
      <c r="O25" s="54"/>
      <c r="P25" s="55"/>
      <c r="R25" s="47"/>
    </row>
    <row r="26" spans="1:20" ht="16.5" thickTop="1" thickBot="1" x14ac:dyDescent="0.3">
      <c r="A26" s="61" t="s">
        <v>149</v>
      </c>
      <c r="B26" s="77">
        <f>(B23+B24)/B25+0.01</f>
        <v>26.103174821931812</v>
      </c>
      <c r="C26" s="77">
        <f>(C23+C24)/C25</f>
        <v>24.730344483562622</v>
      </c>
      <c r="D26" s="77">
        <f>(D23+D24)/D25</f>
        <v>33.289534232212716</v>
      </c>
      <c r="E26" s="77">
        <f>(E23+E24)/E25-0.01</f>
        <v>58.857122137722364</v>
      </c>
      <c r="F26" s="77">
        <f>(F23+F24)/F25+0.02</f>
        <v>48.680881842431823</v>
      </c>
      <c r="G26" s="77">
        <f>(G23+G24)/G25+0.01</f>
        <v>46.570059168011362</v>
      </c>
      <c r="H26" s="77">
        <f>(H23+H24)/H25</f>
        <v>44.297204412240006</v>
      </c>
      <c r="I26" s="77">
        <f>(I23+I24)/I25+0.02</f>
        <v>71.770992370275636</v>
      </c>
      <c r="J26" s="77">
        <f>(J23+J24)/J25+0.02</f>
        <v>53.599147168706551</v>
      </c>
      <c r="K26" s="77">
        <f>(K23+K24)/K25+0.02</f>
        <v>37.166264709193186</v>
      </c>
      <c r="L26" s="77">
        <f>(L23+L24)/L25+0.01</f>
        <v>94.454247316658922</v>
      </c>
      <c r="M26" s="77">
        <f>(M23+M24)/M25+0.02</f>
        <v>152.17457110960007</v>
      </c>
      <c r="N26" s="77">
        <f>(N23+N24)/N25+0.02</f>
        <v>180.99536562670457</v>
      </c>
      <c r="O26" s="78"/>
      <c r="P26" s="64"/>
      <c r="R26" s="47"/>
    </row>
    <row r="27" spans="1:20" hidden="1" x14ac:dyDescent="0.25">
      <c r="A27" s="79" t="s">
        <v>150</v>
      </c>
      <c r="B27" s="80">
        <f>(B23+B24)/12</f>
        <v>4244.4897710342411</v>
      </c>
      <c r="C27" s="80"/>
      <c r="D27" s="80"/>
      <c r="E27" s="80"/>
      <c r="F27" s="80"/>
      <c r="G27" s="80"/>
      <c r="R27" s="47"/>
    </row>
    <row r="28" spans="1:20" hidden="1" x14ac:dyDescent="0.25">
      <c r="A28" s="79" t="s">
        <v>151</v>
      </c>
      <c r="B28" s="80">
        <f>B27*0.75</f>
        <v>3183.3673282756808</v>
      </c>
      <c r="C28" s="80"/>
      <c r="D28" s="80"/>
      <c r="E28" s="80"/>
      <c r="F28" s="80"/>
      <c r="G28" s="80"/>
      <c r="R28" s="47"/>
    </row>
    <row r="29" spans="1:20" hidden="1" x14ac:dyDescent="0.25">
      <c r="A29" s="79" t="s">
        <v>152</v>
      </c>
      <c r="B29" s="80">
        <f>B27*0.5</f>
        <v>2122.2448855171206</v>
      </c>
      <c r="C29" s="80"/>
      <c r="D29" s="80"/>
      <c r="E29" s="80"/>
      <c r="F29" s="80"/>
      <c r="G29" s="80"/>
      <c r="R29" s="47"/>
    </row>
    <row r="30" spans="1:20" hidden="1" x14ac:dyDescent="0.25">
      <c r="A30" s="79" t="s">
        <v>153</v>
      </c>
      <c r="B30" s="80">
        <f>B27*0.25</f>
        <v>1061.1224427585603</v>
      </c>
      <c r="C30" s="80"/>
      <c r="D30" s="80"/>
      <c r="E30" s="80"/>
      <c r="F30" s="80"/>
      <c r="G30" s="80"/>
      <c r="R30" s="47"/>
    </row>
    <row r="31" spans="1:20" hidden="1" x14ac:dyDescent="0.25">
      <c r="B31" s="81">
        <f>20.32*0.25</f>
        <v>5.08</v>
      </c>
      <c r="C31" s="82">
        <f>20.4*0.25</f>
        <v>5.0999999999999996</v>
      </c>
      <c r="D31" s="83">
        <f>26.2*0.25</f>
        <v>6.55</v>
      </c>
      <c r="E31" s="83">
        <f>55.04*0.25</f>
        <v>13.76</v>
      </c>
      <c r="F31" s="83"/>
      <c r="G31" s="83">
        <f>36.88*0.25</f>
        <v>9.2200000000000006</v>
      </c>
      <c r="H31" s="83">
        <f>40.2*0.25</f>
        <v>10.050000000000001</v>
      </c>
      <c r="I31" s="83">
        <f>60.8*0.25</f>
        <v>15.2</v>
      </c>
      <c r="J31" s="84">
        <f>42.64*0.25</f>
        <v>10.66</v>
      </c>
      <c r="K31" s="84">
        <f>30.76*0.25</f>
        <v>7.69</v>
      </c>
      <c r="L31" s="83">
        <f>83.56*0.25</f>
        <v>20.89</v>
      </c>
      <c r="M31"/>
      <c r="N31"/>
      <c r="O31"/>
      <c r="R31" s="47"/>
    </row>
    <row r="32" spans="1:20" x14ac:dyDescent="0.25">
      <c r="C32" s="85"/>
      <c r="R32" s="47"/>
    </row>
    <row r="33" spans="1:18" ht="15.75" thickBot="1" x14ac:dyDescent="0.3">
      <c r="A33" s="86" t="s">
        <v>154</v>
      </c>
      <c r="B33" s="87"/>
      <c r="C33" s="88"/>
      <c r="D33" s="87"/>
      <c r="I33" s="89" t="s">
        <v>155</v>
      </c>
      <c r="J33" s="90"/>
      <c r="K33" s="90"/>
      <c r="L33" s="90"/>
      <c r="M33" s="90"/>
      <c r="O33"/>
      <c r="R33" s="47"/>
    </row>
    <row r="34" spans="1:18" x14ac:dyDescent="0.25">
      <c r="A34" s="91"/>
      <c r="B34" s="92"/>
      <c r="C34" s="93" t="s">
        <v>156</v>
      </c>
      <c r="D34" s="94" t="s">
        <v>157</v>
      </c>
      <c r="E34" s="95"/>
      <c r="F34" s="96"/>
      <c r="G34" s="95"/>
      <c r="I34" s="91"/>
      <c r="J34" s="92"/>
      <c r="K34" s="92"/>
      <c r="L34" s="93" t="s">
        <v>156</v>
      </c>
      <c r="M34" s="94" t="s">
        <v>157</v>
      </c>
      <c r="N34" s="95"/>
      <c r="O34"/>
      <c r="R34" s="47"/>
    </row>
    <row r="35" spans="1:18" x14ac:dyDescent="0.25">
      <c r="A35" s="97"/>
      <c r="B35" s="98" t="s">
        <v>158</v>
      </c>
      <c r="C35" s="99">
        <v>15</v>
      </c>
      <c r="D35" s="100">
        <f>C35*8</f>
        <v>120</v>
      </c>
      <c r="E35" s="101"/>
      <c r="F35" s="101"/>
      <c r="G35" s="101"/>
      <c r="H35" s="102"/>
      <c r="I35" s="97"/>
      <c r="J35" s="98" t="s">
        <v>158</v>
      </c>
      <c r="K35" s="98"/>
      <c r="L35" s="99">
        <v>15</v>
      </c>
      <c r="M35" s="100">
        <f>L35*8</f>
        <v>120</v>
      </c>
      <c r="N35" s="101"/>
      <c r="O35" s="102"/>
      <c r="R35" s="47"/>
    </row>
    <row r="36" spans="1:18" x14ac:dyDescent="0.25">
      <c r="A36" s="103"/>
      <c r="B36" s="104" t="s">
        <v>159</v>
      </c>
      <c r="C36" s="105">
        <v>1</v>
      </c>
      <c r="D36" s="106">
        <f>C36*8</f>
        <v>8</v>
      </c>
      <c r="E36" s="107"/>
      <c r="F36" s="107"/>
      <c r="G36" s="107"/>
      <c r="H36" s="108"/>
      <c r="I36" s="109"/>
      <c r="J36" s="110" t="s">
        <v>160</v>
      </c>
      <c r="K36" s="110"/>
      <c r="L36" s="105">
        <v>25</v>
      </c>
      <c r="M36" s="111">
        <f>L36*8</f>
        <v>200</v>
      </c>
      <c r="N36" s="101"/>
      <c r="O36" s="102"/>
      <c r="R36" s="47"/>
    </row>
    <row r="37" spans="1:18" x14ac:dyDescent="0.25">
      <c r="A37" s="97"/>
      <c r="B37" s="112"/>
      <c r="C37" s="98" t="s">
        <v>161</v>
      </c>
      <c r="D37" s="113">
        <f>SUM(D35:D36)</f>
        <v>128</v>
      </c>
      <c r="E37" s="107"/>
      <c r="F37" s="107"/>
      <c r="G37" s="107"/>
      <c r="I37" s="97"/>
      <c r="J37" s="112"/>
      <c r="K37" s="112"/>
      <c r="L37" s="98" t="s">
        <v>161</v>
      </c>
      <c r="M37" s="100">
        <f>SUM(M35:M36)</f>
        <v>320</v>
      </c>
      <c r="N37" s="101"/>
      <c r="O37"/>
      <c r="R37" s="47"/>
    </row>
    <row r="38" spans="1:18" ht="15.75" thickBot="1" x14ac:dyDescent="0.3">
      <c r="A38" s="114"/>
      <c r="B38" s="115"/>
      <c r="C38" s="116" t="s">
        <v>148</v>
      </c>
      <c r="D38" s="117">
        <f>2080-D37</f>
        <v>1952</v>
      </c>
      <c r="E38" s="107"/>
      <c r="F38" s="107"/>
      <c r="G38" s="107"/>
      <c r="I38" s="114"/>
      <c r="J38" s="115"/>
      <c r="K38" s="115"/>
      <c r="L38" s="116" t="s">
        <v>148</v>
      </c>
      <c r="M38" s="118">
        <f>2080-M37</f>
        <v>1760</v>
      </c>
      <c r="N38" s="101"/>
      <c r="O38"/>
      <c r="R38" s="47"/>
    </row>
    <row r="39" spans="1:18" x14ac:dyDescent="0.25">
      <c r="R39" s="47"/>
    </row>
  </sheetData>
  <mergeCells count="10">
    <mergeCell ref="O17:P17"/>
    <mergeCell ref="O18:P18"/>
    <mergeCell ref="O19:P19"/>
    <mergeCell ref="O20:P21"/>
    <mergeCell ref="A1:M1"/>
    <mergeCell ref="L2:M2"/>
    <mergeCell ref="L3:M3"/>
    <mergeCell ref="L4:M4"/>
    <mergeCell ref="A15:M15"/>
    <mergeCell ref="J16:K16"/>
  </mergeCells>
  <pageMargins left="0.25" right="0.25" top="0.75" bottom="0.75" header="0.3" footer="0.3"/>
  <pageSetup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D5ED-DF5D-4088-B9B4-BF1ED9555023}">
  <sheetPr>
    <pageSetUpPr fitToPage="1"/>
  </sheetPr>
  <dimension ref="A1:P87"/>
  <sheetViews>
    <sheetView topLeftCell="A7" zoomScale="115" zoomScaleNormal="115" zoomScalePageLayoutView="85" workbookViewId="0">
      <selection activeCell="F31" sqref="F31"/>
    </sheetView>
  </sheetViews>
  <sheetFormatPr defaultColWidth="9.140625" defaultRowHeight="12.75" x14ac:dyDescent="0.2"/>
  <cols>
    <col min="1" max="1" width="9.140625" style="369" bestFit="1" customWidth="1"/>
    <col min="2" max="2" width="9.140625" style="345"/>
    <col min="3" max="3" width="28.42578125" style="345" customWidth="1"/>
    <col min="4" max="4" width="15.5703125" style="345" customWidth="1"/>
    <col min="5" max="5" width="9.140625" style="345"/>
    <col min="6" max="6" width="16.42578125" style="345" customWidth="1"/>
    <col min="7" max="7" width="9.140625" style="345"/>
    <col min="8" max="8" width="6" style="345" customWidth="1"/>
    <col min="9" max="9" width="5.28515625" style="345" customWidth="1"/>
    <col min="10" max="10" width="7" style="345" customWidth="1"/>
    <col min="11" max="11" width="11" style="345" hidden="1" customWidth="1"/>
    <col min="12" max="12" width="11.42578125" style="345" hidden="1" customWidth="1"/>
    <col min="13" max="13" width="8.5703125" style="345" hidden="1" customWidth="1"/>
    <col min="14" max="14" width="10.7109375" style="345" customWidth="1"/>
    <col min="15" max="16384" width="9.140625" style="345"/>
  </cols>
  <sheetData>
    <row r="1" spans="3:12" ht="21.75" customHeight="1" x14ac:dyDescent="0.2"/>
    <row r="2" spans="3:12" ht="15.75" customHeight="1" thickBot="1" x14ac:dyDescent="0.25">
      <c r="C2" s="346">
        <v>45000</v>
      </c>
    </row>
    <row r="3" spans="3:12" ht="20.25" customHeight="1" x14ac:dyDescent="0.2">
      <c r="C3" s="963" t="s">
        <v>277</v>
      </c>
      <c r="D3" s="964"/>
      <c r="E3" s="964"/>
      <c r="F3" s="965"/>
    </row>
    <row r="4" spans="3:12" ht="12.75" customHeight="1" thickBot="1" x14ac:dyDescent="0.25">
      <c r="C4" s="966"/>
      <c r="D4" s="967"/>
      <c r="E4" s="967"/>
      <c r="F4" s="968"/>
    </row>
    <row r="5" spans="3:12" ht="12.75" customHeight="1" x14ac:dyDescent="0.2">
      <c r="C5" s="347" t="s">
        <v>165</v>
      </c>
      <c r="D5" s="348">
        <v>15</v>
      </c>
      <c r="E5" s="349" t="s">
        <v>166</v>
      </c>
      <c r="F5" s="350">
        <f>D5*365</f>
        <v>5475</v>
      </c>
    </row>
    <row r="6" spans="3:12" x14ac:dyDescent="0.2">
      <c r="C6" s="358"/>
      <c r="D6" s="433"/>
      <c r="E6" s="433" t="s">
        <v>169</v>
      </c>
      <c r="F6" s="434" t="s">
        <v>170</v>
      </c>
      <c r="I6" s="351"/>
      <c r="K6" s="345">
        <f>J6*H6</f>
        <v>0</v>
      </c>
    </row>
    <row r="7" spans="3:12" ht="15" customHeight="1" thickBot="1" x14ac:dyDescent="0.25">
      <c r="C7" s="126" t="s">
        <v>172</v>
      </c>
      <c r="D7" s="120"/>
      <c r="E7" s="277">
        <v>2</v>
      </c>
      <c r="F7" s="135">
        <v>136559</v>
      </c>
      <c r="I7" s="352"/>
      <c r="J7" s="353"/>
      <c r="K7" s="354">
        <f>J7*H7</f>
        <v>0</v>
      </c>
    </row>
    <row r="8" spans="3:12" ht="15" customHeight="1" thickTop="1" x14ac:dyDescent="0.2">
      <c r="C8" s="126" t="s">
        <v>177</v>
      </c>
      <c r="D8" s="120"/>
      <c r="E8" s="218">
        <f>5.8+3.5</f>
        <v>9.3000000000000007</v>
      </c>
      <c r="F8" s="135">
        <f>437285+176475</f>
        <v>613760</v>
      </c>
      <c r="I8" s="356"/>
      <c r="J8" s="353"/>
      <c r="K8" s="345">
        <f>SUM(K6:K7)</f>
        <v>0</v>
      </c>
      <c r="L8" s="357" t="e">
        <f>(K8-I8)/K8</f>
        <v>#DIV/0!</v>
      </c>
    </row>
    <row r="9" spans="3:12" ht="15" customHeight="1" x14ac:dyDescent="0.2">
      <c r="C9" s="137" t="s">
        <v>220</v>
      </c>
      <c r="D9" s="273"/>
      <c r="E9" s="278">
        <v>19.88</v>
      </c>
      <c r="F9" s="275">
        <v>813169</v>
      </c>
    </row>
    <row r="10" spans="3:12" ht="15" customHeight="1" x14ac:dyDescent="0.2">
      <c r="C10" s="358" t="s">
        <v>187</v>
      </c>
      <c r="D10" s="359"/>
      <c r="E10" s="438">
        <f>SUM(E7:E9)</f>
        <v>31.18</v>
      </c>
      <c r="F10" s="360">
        <f>SUM(F7:F9)</f>
        <v>1563488</v>
      </c>
    </row>
    <row r="11" spans="3:12" ht="15" customHeight="1" x14ac:dyDescent="0.2">
      <c r="C11" s="361" t="s">
        <v>192</v>
      </c>
      <c r="D11" s="435">
        <f>D48</f>
        <v>0.25390000000000001</v>
      </c>
      <c r="E11" s="364"/>
      <c r="F11" s="363">
        <f>F10*D11</f>
        <v>396969.60320000001</v>
      </c>
    </row>
    <row r="12" spans="3:12" ht="15" customHeight="1" x14ac:dyDescent="0.2">
      <c r="C12" s="361" t="s">
        <v>483</v>
      </c>
      <c r="D12" s="435">
        <f>D55</f>
        <v>2.7811565914169036E-2</v>
      </c>
      <c r="E12" s="364"/>
      <c r="F12" s="363">
        <f>(F10+F11)*D12</f>
        <v>54523.395853330643</v>
      </c>
    </row>
    <row r="13" spans="3:12" ht="15" customHeight="1" x14ac:dyDescent="0.2">
      <c r="C13" s="365" t="s">
        <v>194</v>
      </c>
      <c r="D13" s="366"/>
      <c r="E13" s="367"/>
      <c r="F13" s="368">
        <f>SUM(F10:F12)</f>
        <v>2014980.9990533306</v>
      </c>
    </row>
    <row r="14" spans="3:12" ht="15" customHeight="1" x14ac:dyDescent="0.2">
      <c r="C14" s="361" t="str">
        <f>C49</f>
        <v>Staff Training (per FTE)</v>
      </c>
      <c r="D14" s="364"/>
      <c r="E14" s="436">
        <f>D49</f>
        <v>43.64504490057729</v>
      </c>
      <c r="F14" s="363">
        <f>E14*E10</f>
        <v>1360.8525</v>
      </c>
    </row>
    <row r="15" spans="3:12" ht="15" customHeight="1" x14ac:dyDescent="0.2">
      <c r="C15" s="361" t="str">
        <f>C50</f>
        <v>Transportation (per bed day)</v>
      </c>
      <c r="D15" s="364"/>
      <c r="E15" s="436">
        <f>D50</f>
        <v>3.2758505936073057</v>
      </c>
      <c r="F15" s="363">
        <f>E15*F5</f>
        <v>17935.281999999999</v>
      </c>
    </row>
    <row r="16" spans="3:12" ht="15" customHeight="1" x14ac:dyDescent="0.2">
      <c r="C16" s="361" t="str">
        <f>C51</f>
        <v>Inc Med/Med/Pharmacy (per bed day)</v>
      </c>
      <c r="D16" s="364"/>
      <c r="E16" s="436">
        <f>D51</f>
        <v>1.5648803652968035</v>
      </c>
      <c r="F16" s="363">
        <f t="shared" ref="F16:F17" si="0">E16*$F$5</f>
        <v>8567.7199999999993</v>
      </c>
    </row>
    <row r="17" spans="3:9" ht="15" customHeight="1" x14ac:dyDescent="0.2">
      <c r="C17" s="361" t="str">
        <f>C52</f>
        <v>Program Supplies/Materials (per bed day)</v>
      </c>
      <c r="D17" s="364"/>
      <c r="E17" s="436">
        <f>D52</f>
        <v>3.2729866666666663</v>
      </c>
      <c r="F17" s="363">
        <f t="shared" si="0"/>
        <v>17919.601999999999</v>
      </c>
    </row>
    <row r="18" spans="3:9" ht="15" customHeight="1" x14ac:dyDescent="0.2">
      <c r="C18" s="361" t="str">
        <f>C53</f>
        <v>Other Program Expenses (per bed day)</v>
      </c>
      <c r="D18" s="364"/>
      <c r="E18" s="436">
        <f>D53</f>
        <v>44.093106484018264</v>
      </c>
      <c r="F18" s="363">
        <f>E18*F5</f>
        <v>241409.758</v>
      </c>
    </row>
    <row r="19" spans="3:9" ht="15" customHeight="1" x14ac:dyDescent="0.2">
      <c r="C19" s="365" t="s">
        <v>198</v>
      </c>
      <c r="D19" s="366"/>
      <c r="E19" s="366"/>
      <c r="F19" s="368">
        <f>SUM(F13)+SUM(F14:F18)</f>
        <v>2302174.2135533309</v>
      </c>
    </row>
    <row r="20" spans="3:9" ht="15" customHeight="1" x14ac:dyDescent="0.2">
      <c r="C20" s="361" t="s">
        <v>199</v>
      </c>
      <c r="D20" s="435">
        <f>'YouthRes  (FY24)'!D54</f>
        <v>0.12</v>
      </c>
      <c r="E20" s="364"/>
      <c r="F20" s="363">
        <f>(F19-F12)*D20</f>
        <v>269718.09812400001</v>
      </c>
    </row>
    <row r="21" spans="3:9" ht="15" customHeight="1" thickBot="1" x14ac:dyDescent="0.25">
      <c r="C21" s="370" t="s">
        <v>200</v>
      </c>
      <c r="D21" s="371"/>
      <c r="E21" s="371"/>
      <c r="F21" s="372">
        <f>F19+F20</f>
        <v>2571892.3116773311</v>
      </c>
    </row>
    <row r="22" spans="3:9" ht="15" customHeight="1" thickTop="1" x14ac:dyDescent="0.2">
      <c r="C22" s="361" t="s">
        <v>118</v>
      </c>
      <c r="D22" s="435">
        <f>D55</f>
        <v>2.7811565914169036E-2</v>
      </c>
      <c r="E22" s="364"/>
      <c r="F22" s="373">
        <f>(F14+F15+F16+F17+F18)*D22</f>
        <v>7987.2930151688361</v>
      </c>
    </row>
    <row r="23" spans="3:9" ht="15" customHeight="1" thickBot="1" x14ac:dyDescent="0.25">
      <c r="C23" s="370" t="s">
        <v>200</v>
      </c>
      <c r="D23" s="371"/>
      <c r="E23" s="371"/>
      <c r="F23" s="372">
        <f>F21+F22</f>
        <v>2579879.6046925001</v>
      </c>
    </row>
    <row r="24" spans="3:9" ht="15" customHeight="1" thickTop="1" thickBot="1" x14ac:dyDescent="0.25">
      <c r="C24" s="361" t="s">
        <v>278</v>
      </c>
      <c r="D24" s="437"/>
      <c r="E24" s="375"/>
      <c r="F24" s="376">
        <f>F23/F5</f>
        <v>471.2108867018265</v>
      </c>
    </row>
    <row r="25" spans="3:9" ht="15" customHeight="1" thickBot="1" x14ac:dyDescent="0.25">
      <c r="C25" s="378" t="s">
        <v>279</v>
      </c>
      <c r="D25" s="379">
        <v>0.9</v>
      </c>
      <c r="E25" s="380"/>
      <c r="F25" s="381">
        <f>$F$24/D25</f>
        <v>523.56765189091834</v>
      </c>
    </row>
    <row r="26" spans="3:9" ht="13.5" thickBot="1" x14ac:dyDescent="0.25">
      <c r="C26" s="378" t="s">
        <v>279</v>
      </c>
      <c r="D26" s="379">
        <v>0.8</v>
      </c>
      <c r="E26" s="382"/>
      <c r="F26" s="383">
        <f>$F$24/D26</f>
        <v>589.01360837728305</v>
      </c>
    </row>
    <row r="27" spans="3:9" x14ac:dyDescent="0.2">
      <c r="C27" s="385"/>
      <c r="D27" s="386"/>
      <c r="E27" s="387"/>
      <c r="F27" s="387"/>
    </row>
    <row r="28" spans="3:9" ht="13.5" thickBot="1" x14ac:dyDescent="0.25"/>
    <row r="29" spans="3:9" ht="13.5" thickBot="1" x14ac:dyDescent="0.25">
      <c r="C29" s="427" t="s">
        <v>280</v>
      </c>
      <c r="D29" s="428"/>
      <c r="E29" s="428"/>
      <c r="F29" s="428"/>
      <c r="G29" s="428"/>
      <c r="H29" s="428"/>
      <c r="I29" s="429"/>
    </row>
    <row r="30" spans="3:9" ht="13.5" thickBot="1" x14ac:dyDescent="0.25">
      <c r="C30" s="430" t="s">
        <v>479</v>
      </c>
      <c r="D30" s="431" t="s">
        <v>226</v>
      </c>
      <c r="F30" s="430" t="s">
        <v>131</v>
      </c>
      <c r="G30" s="431"/>
      <c r="H30" s="431"/>
      <c r="I30" s="432"/>
    </row>
    <row r="31" spans="3:9" ht="16.5" customHeight="1" x14ac:dyDescent="0.2">
      <c r="C31" s="391" t="s">
        <v>281</v>
      </c>
      <c r="D31" s="399">
        <v>1</v>
      </c>
      <c r="E31" s="392"/>
      <c r="F31" s="355" t="s">
        <v>282</v>
      </c>
      <c r="G31" s="364"/>
      <c r="H31" s="364"/>
      <c r="I31" s="393"/>
    </row>
    <row r="32" spans="3:9" x14ac:dyDescent="0.2">
      <c r="C32" s="391" t="s">
        <v>283</v>
      </c>
      <c r="D32" s="400">
        <v>1</v>
      </c>
      <c r="E32" s="394"/>
      <c r="F32" s="355" t="s">
        <v>282</v>
      </c>
      <c r="G32" s="364"/>
      <c r="H32" s="364"/>
      <c r="I32" s="393"/>
    </row>
    <row r="33" spans="1:9" x14ac:dyDescent="0.2">
      <c r="C33" s="391" t="s">
        <v>284</v>
      </c>
      <c r="D33" s="400">
        <v>1</v>
      </c>
      <c r="E33" s="394"/>
      <c r="F33" s="355" t="s">
        <v>282</v>
      </c>
      <c r="G33" s="364"/>
      <c r="H33" s="364"/>
      <c r="I33" s="393"/>
    </row>
    <row r="34" spans="1:9" x14ac:dyDescent="0.2">
      <c r="C34" s="391" t="s">
        <v>285</v>
      </c>
      <c r="D34" s="400">
        <v>0.2</v>
      </c>
      <c r="E34" s="394"/>
      <c r="F34" s="355" t="s">
        <v>282</v>
      </c>
      <c r="G34" s="364"/>
      <c r="H34" s="364"/>
      <c r="I34" s="393"/>
    </row>
    <row r="35" spans="1:9" x14ac:dyDescent="0.2">
      <c r="A35" s="374"/>
      <c r="C35" s="391" t="s">
        <v>286</v>
      </c>
      <c r="D35" s="400">
        <v>2.5</v>
      </c>
      <c r="E35" s="394"/>
      <c r="F35" s="355" t="s">
        <v>282</v>
      </c>
      <c r="G35" s="364"/>
      <c r="H35" s="364"/>
      <c r="I35" s="393"/>
    </row>
    <row r="36" spans="1:9" x14ac:dyDescent="0.2">
      <c r="A36" s="374"/>
      <c r="C36" s="391" t="s">
        <v>287</v>
      </c>
      <c r="D36" s="400">
        <v>1.4</v>
      </c>
      <c r="E36" s="394"/>
      <c r="F36" s="355" t="s">
        <v>288</v>
      </c>
      <c r="G36" s="364"/>
      <c r="H36" s="364"/>
      <c r="I36" s="393"/>
    </row>
    <row r="37" spans="1:9" x14ac:dyDescent="0.2">
      <c r="A37" s="377"/>
      <c r="C37" s="391" t="s">
        <v>289</v>
      </c>
      <c r="D37" s="400">
        <v>0.7</v>
      </c>
      <c r="E37" s="394"/>
      <c r="F37" s="355" t="s">
        <v>282</v>
      </c>
      <c r="G37" s="364"/>
      <c r="H37" s="364"/>
      <c r="I37" s="393"/>
    </row>
    <row r="38" spans="1:9" x14ac:dyDescent="0.2">
      <c r="C38" s="391" t="s">
        <v>290</v>
      </c>
      <c r="D38" s="400">
        <v>0.75</v>
      </c>
      <c r="E38" s="394"/>
      <c r="F38" s="355" t="s">
        <v>291</v>
      </c>
      <c r="G38" s="364"/>
      <c r="H38" s="364"/>
      <c r="I38" s="393"/>
    </row>
    <row r="39" spans="1:9" x14ac:dyDescent="0.2">
      <c r="C39" s="391" t="s">
        <v>292</v>
      </c>
      <c r="D39" s="400">
        <v>0.5</v>
      </c>
      <c r="E39" s="394"/>
      <c r="F39" s="355" t="s">
        <v>282</v>
      </c>
      <c r="G39" s="364"/>
      <c r="H39" s="364"/>
      <c r="I39" s="393"/>
    </row>
    <row r="40" spans="1:9" ht="15.75" customHeight="1" x14ac:dyDescent="0.2">
      <c r="C40" s="391" t="s">
        <v>293</v>
      </c>
      <c r="D40" s="400">
        <v>1.8</v>
      </c>
      <c r="E40" s="394"/>
      <c r="F40" s="355" t="s">
        <v>288</v>
      </c>
      <c r="G40" s="364"/>
      <c r="H40" s="364"/>
      <c r="I40" s="393"/>
    </row>
    <row r="41" spans="1:9" ht="15.75" customHeight="1" x14ac:dyDescent="0.2">
      <c r="C41" s="391" t="s">
        <v>294</v>
      </c>
      <c r="D41" s="400">
        <v>15.4</v>
      </c>
      <c r="E41" s="394"/>
      <c r="F41" s="355" t="s">
        <v>282</v>
      </c>
      <c r="G41" s="364"/>
      <c r="H41" s="364"/>
      <c r="I41" s="393"/>
    </row>
    <row r="42" spans="1:9" ht="17.25" customHeight="1" x14ac:dyDescent="0.2">
      <c r="A42" s="388"/>
      <c r="C42" s="391" t="s">
        <v>295</v>
      </c>
      <c r="D42" s="400">
        <v>1</v>
      </c>
      <c r="E42" s="394"/>
      <c r="F42" s="355" t="s">
        <v>282</v>
      </c>
      <c r="G42" s="364"/>
      <c r="H42" s="364"/>
      <c r="I42" s="393"/>
    </row>
    <row r="43" spans="1:9" x14ac:dyDescent="0.2">
      <c r="A43" s="389"/>
      <c r="C43" s="391" t="s">
        <v>273</v>
      </c>
      <c r="D43" s="400">
        <v>1.5</v>
      </c>
      <c r="E43" s="394"/>
      <c r="F43" s="355" t="s">
        <v>282</v>
      </c>
      <c r="G43" s="364"/>
      <c r="H43" s="364"/>
      <c r="I43" s="393"/>
    </row>
    <row r="44" spans="1:9" x14ac:dyDescent="0.2">
      <c r="A44" s="390"/>
      <c r="B44" s="353"/>
      <c r="C44" s="391" t="s">
        <v>296</v>
      </c>
      <c r="D44" s="400">
        <v>2.4300000000000002</v>
      </c>
      <c r="E44" s="394"/>
      <c r="F44" s="355" t="s">
        <v>282</v>
      </c>
      <c r="G44" s="364"/>
      <c r="H44" s="364"/>
      <c r="I44" s="393"/>
    </row>
    <row r="45" spans="1:9" ht="13.5" thickBot="1" x14ac:dyDescent="0.25">
      <c r="A45" s="389"/>
      <c r="C45" s="391" t="s">
        <v>297</v>
      </c>
      <c r="D45" s="401">
        <v>0.3</v>
      </c>
      <c r="E45" s="395"/>
      <c r="F45" s="355" t="s">
        <v>282</v>
      </c>
      <c r="G45" s="364"/>
      <c r="H45" s="364"/>
      <c r="I45" s="393"/>
    </row>
    <row r="46" spans="1:9" ht="13.5" thickBot="1" x14ac:dyDescent="0.25">
      <c r="A46" s="345"/>
      <c r="C46" s="969"/>
      <c r="D46" s="970"/>
      <c r="E46" s="396"/>
      <c r="F46" s="396"/>
      <c r="G46" s="396"/>
      <c r="H46" s="397"/>
      <c r="I46" s="398"/>
    </row>
    <row r="47" spans="1:9" x14ac:dyDescent="0.2">
      <c r="A47" s="345"/>
      <c r="C47" s="971" t="s">
        <v>206</v>
      </c>
      <c r="D47" s="972"/>
      <c r="E47" s="402"/>
      <c r="F47" s="402"/>
      <c r="G47" s="402"/>
      <c r="H47" s="403"/>
      <c r="I47" s="404"/>
    </row>
    <row r="48" spans="1:9" x14ac:dyDescent="0.2">
      <c r="A48" s="345"/>
      <c r="C48" s="818" t="s">
        <v>192</v>
      </c>
      <c r="D48" s="406">
        <f>'[23]M2021 BLS SALARY CHART (53_PCT)'!C38</f>
        <v>0.25390000000000001</v>
      </c>
      <c r="E48" s="407" t="s">
        <v>299</v>
      </c>
      <c r="F48" s="407"/>
      <c r="G48" s="407"/>
      <c r="H48" s="408"/>
      <c r="I48" s="819"/>
    </row>
    <row r="49" spans="1:9" x14ac:dyDescent="0.2">
      <c r="A49" s="345"/>
      <c r="C49" s="391" t="s">
        <v>300</v>
      </c>
      <c r="D49" s="412">
        <f>'[23]Youth Resi expenses FY21'!B31</f>
        <v>43.64504490057729</v>
      </c>
      <c r="E49" s="364" t="s">
        <v>301</v>
      </c>
      <c r="F49" s="364"/>
      <c r="G49" s="364"/>
      <c r="H49" s="820"/>
      <c r="I49" s="393"/>
    </row>
    <row r="50" spans="1:9" x14ac:dyDescent="0.2">
      <c r="A50" s="345"/>
      <c r="C50" s="391" t="s">
        <v>304</v>
      </c>
      <c r="D50" s="412">
        <f>'[23]Youth Resi expenses FY21'!F15</f>
        <v>3.2758505936073057</v>
      </c>
      <c r="E50" s="364" t="s">
        <v>301</v>
      </c>
      <c r="F50" s="364"/>
      <c r="G50" s="364"/>
      <c r="H50" s="820"/>
      <c r="I50" s="393"/>
    </row>
    <row r="51" spans="1:9" x14ac:dyDescent="0.2">
      <c r="A51" s="345"/>
      <c r="C51" s="391" t="s">
        <v>305</v>
      </c>
      <c r="D51" s="412">
        <f>'[23]Youth Resi expenses FY21'!B79</f>
        <v>1.5648803652968035</v>
      </c>
      <c r="E51" s="364" t="s">
        <v>301</v>
      </c>
      <c r="F51" s="364"/>
      <c r="G51" s="364"/>
      <c r="H51" s="820"/>
      <c r="I51" s="393"/>
    </row>
    <row r="52" spans="1:9" x14ac:dyDescent="0.2">
      <c r="A52" s="345"/>
      <c r="C52" s="391" t="s">
        <v>306</v>
      </c>
      <c r="D52" s="412">
        <f>'[23]Youth Resi expenses FY21'!B95</f>
        <v>3.2729866666666663</v>
      </c>
      <c r="E52" s="364" t="s">
        <v>301</v>
      </c>
      <c r="F52" s="364"/>
      <c r="G52" s="364"/>
      <c r="H52" s="820"/>
      <c r="I52" s="393"/>
    </row>
    <row r="53" spans="1:9" x14ac:dyDescent="0.2">
      <c r="A53" s="345"/>
      <c r="C53" s="391" t="s">
        <v>307</v>
      </c>
      <c r="D53" s="412">
        <f>'[23]Youth Resi expenses FY21'!B46+'[23]Youth Resi expenses FY21'!B62+'[23]Youth Resi expenses FY21'!B113</f>
        <v>44.093106484018264</v>
      </c>
      <c r="E53" s="364" t="s">
        <v>301</v>
      </c>
      <c r="F53" s="364"/>
      <c r="G53" s="364"/>
      <c r="H53" s="820"/>
      <c r="I53" s="393"/>
    </row>
    <row r="54" spans="1:9" x14ac:dyDescent="0.2">
      <c r="A54" s="345"/>
      <c r="C54" s="361" t="s">
        <v>199</v>
      </c>
      <c r="D54" s="416">
        <f>'[24]M2021 BLS  SALARY CHART'!D41</f>
        <v>0.12</v>
      </c>
      <c r="E54" s="364" t="s">
        <v>299</v>
      </c>
      <c r="F54" s="364"/>
      <c r="G54" s="364"/>
      <c r="H54" s="820"/>
      <c r="I54" s="393"/>
    </row>
    <row r="55" spans="1:9" ht="13.5" thickBot="1" x14ac:dyDescent="0.25">
      <c r="A55" s="345"/>
      <c r="C55" s="821" t="s">
        <v>137</v>
      </c>
      <c r="D55" s="822">
        <f>'[24]CAF FALL 2022'!CK26</f>
        <v>2.7811565914169036E-2</v>
      </c>
      <c r="E55" s="504" t="s">
        <v>308</v>
      </c>
      <c r="F55" s="823"/>
      <c r="G55" s="823"/>
      <c r="H55" s="824"/>
      <c r="I55" s="825"/>
    </row>
    <row r="56" spans="1:9" x14ac:dyDescent="0.2">
      <c r="A56" s="345"/>
    </row>
    <row r="57" spans="1:9" ht="15" x14ac:dyDescent="0.25">
      <c r="A57" s="345"/>
      <c r="C57" s="845"/>
    </row>
    <row r="58" spans="1:9" x14ac:dyDescent="0.2">
      <c r="A58" s="345"/>
    </row>
    <row r="59" spans="1:9" ht="12.75" customHeight="1" x14ac:dyDescent="0.2">
      <c r="A59" s="345"/>
    </row>
    <row r="60" spans="1:9" x14ac:dyDescent="0.2">
      <c r="A60" s="345"/>
    </row>
    <row r="61" spans="1:9" x14ac:dyDescent="0.2">
      <c r="A61" s="345"/>
    </row>
    <row r="62" spans="1:9" x14ac:dyDescent="0.2">
      <c r="A62" s="345"/>
    </row>
    <row r="63" spans="1:9" x14ac:dyDescent="0.2">
      <c r="A63" s="345"/>
    </row>
    <row r="64" spans="1:9" x14ac:dyDescent="0.2">
      <c r="A64" s="345"/>
    </row>
    <row r="65" spans="1:16" x14ac:dyDescent="0.2">
      <c r="A65" s="345"/>
    </row>
    <row r="66" spans="1:16" x14ac:dyDescent="0.2">
      <c r="A66" s="345"/>
    </row>
    <row r="67" spans="1:16" x14ac:dyDescent="0.2">
      <c r="A67" s="345"/>
    </row>
    <row r="68" spans="1:16" x14ac:dyDescent="0.2">
      <c r="A68" s="345"/>
    </row>
    <row r="69" spans="1:16" x14ac:dyDescent="0.2">
      <c r="A69" s="345"/>
    </row>
    <row r="70" spans="1:16" x14ac:dyDescent="0.2">
      <c r="A70" s="345"/>
    </row>
    <row r="71" spans="1:16" x14ac:dyDescent="0.2">
      <c r="A71" s="345"/>
    </row>
    <row r="72" spans="1:16" x14ac:dyDescent="0.2">
      <c r="A72" s="345"/>
    </row>
    <row r="73" spans="1:16" x14ac:dyDescent="0.2">
      <c r="A73" s="345"/>
    </row>
    <row r="74" spans="1:16" x14ac:dyDescent="0.2">
      <c r="A74" s="345"/>
    </row>
    <row r="75" spans="1:16" ht="12.75" customHeight="1" x14ac:dyDescent="0.2">
      <c r="A75" s="345"/>
      <c r="O75" s="405"/>
      <c r="P75" s="405"/>
    </row>
    <row r="76" spans="1:16" ht="15" customHeight="1" x14ac:dyDescent="0.2">
      <c r="A76" s="345"/>
      <c r="N76" s="409"/>
      <c r="O76" s="410"/>
      <c r="P76" s="411"/>
    </row>
    <row r="77" spans="1:16" ht="13.15" customHeight="1" x14ac:dyDescent="0.2">
      <c r="A77" s="345"/>
      <c r="L77" s="405" t="s">
        <v>302</v>
      </c>
      <c r="M77" s="405" t="s">
        <v>303</v>
      </c>
      <c r="N77" s="409"/>
      <c r="O77" s="413"/>
      <c r="P77" s="411"/>
    </row>
    <row r="78" spans="1:16" ht="15" customHeight="1" x14ac:dyDescent="0.2">
      <c r="A78" s="345"/>
      <c r="J78" s="414"/>
      <c r="K78" s="409">
        <f>'[24]3470 Youth RESI Tayya Expenses'!B60</f>
        <v>108360.14285714286</v>
      </c>
      <c r="L78" s="410">
        <f>F5</f>
        <v>5475</v>
      </c>
      <c r="M78" s="415">
        <f>K78/L78</f>
        <v>19.79180691454664</v>
      </c>
      <c r="N78" s="409"/>
      <c r="O78" s="410"/>
      <c r="P78" s="411"/>
    </row>
    <row r="79" spans="1:16" x14ac:dyDescent="0.2">
      <c r="A79" s="345"/>
      <c r="J79" s="414"/>
      <c r="K79" s="409">
        <f>'[24]3470 Youth RESI Tayya Expenses'!B29</f>
        <v>2429.6666666666665</v>
      </c>
      <c r="L79" s="413">
        <f>E10</f>
        <v>31.18</v>
      </c>
      <c r="M79" s="415">
        <f t="shared" ref="M79:M83" si="1">K79/L79</f>
        <v>77.92388283087449</v>
      </c>
      <c r="N79" s="409"/>
      <c r="O79" s="410"/>
      <c r="P79" s="411"/>
    </row>
    <row r="80" spans="1:16" x14ac:dyDescent="0.2">
      <c r="A80" s="345"/>
      <c r="J80" s="414"/>
      <c r="K80" s="409">
        <f>'[24]3470 Youth RESI Tayya Expenses'!F13</f>
        <v>16501.428571428572</v>
      </c>
      <c r="L80" s="410">
        <f>F5</f>
        <v>5475</v>
      </c>
      <c r="M80" s="415">
        <f t="shared" si="1"/>
        <v>3.0139595564253101</v>
      </c>
      <c r="N80" s="409"/>
      <c r="O80" s="410"/>
      <c r="P80" s="411"/>
    </row>
    <row r="81" spans="1:16" x14ac:dyDescent="0.2">
      <c r="A81" s="345"/>
      <c r="J81" s="414"/>
      <c r="K81" s="409">
        <f>'[24]3470 Youth RESI Tayya Expenses'!B44</f>
        <v>41809.4</v>
      </c>
      <c r="L81" s="410">
        <f>F5</f>
        <v>5475</v>
      </c>
      <c r="M81" s="415">
        <f t="shared" si="1"/>
        <v>7.6364200913242009</v>
      </c>
      <c r="N81" s="409"/>
      <c r="O81" s="410"/>
      <c r="P81" s="411"/>
    </row>
    <row r="82" spans="1:16" x14ac:dyDescent="0.2">
      <c r="A82" s="345"/>
      <c r="J82" s="414"/>
      <c r="K82" s="409">
        <f>'[24]3470 Youth RESI Tayya Expenses'!B77</f>
        <v>2839</v>
      </c>
      <c r="L82" s="410">
        <f>F5</f>
        <v>5475</v>
      </c>
      <c r="M82" s="415">
        <f t="shared" si="1"/>
        <v>0.51853881278538816</v>
      </c>
      <c r="N82" s="384"/>
      <c r="O82" s="413"/>
      <c r="P82" s="411"/>
    </row>
    <row r="83" spans="1:16" x14ac:dyDescent="0.2">
      <c r="A83" s="345"/>
      <c r="J83" s="414"/>
      <c r="K83" s="409">
        <f>'[24]3470 Youth RESI Tayya Expenses'!B93</f>
        <v>14617.857142857143</v>
      </c>
      <c r="L83" s="410">
        <f>F5</f>
        <v>5475</v>
      </c>
      <c r="M83" s="415">
        <f t="shared" si="1"/>
        <v>2.6699282452707109</v>
      </c>
    </row>
    <row r="84" spans="1:16" x14ac:dyDescent="0.2">
      <c r="A84" s="345"/>
      <c r="K84" s="384">
        <f>'[24]3470 Youth RESI Tayya Expenses'!B111</f>
        <v>4458.75</v>
      </c>
      <c r="L84" s="410">
        <f>F5</f>
        <v>5475</v>
      </c>
      <c r="M84" s="415">
        <f>K84/L84</f>
        <v>0.81438356164383563</v>
      </c>
      <c r="N84" s="411"/>
    </row>
    <row r="85" spans="1:16" x14ac:dyDescent="0.2">
      <c r="A85" s="345"/>
    </row>
    <row r="86" spans="1:16" ht="13.5" customHeight="1" x14ac:dyDescent="0.2">
      <c r="A86" s="345"/>
    </row>
    <row r="87" spans="1:16" x14ac:dyDescent="0.2">
      <c r="A87" s="417"/>
    </row>
  </sheetData>
  <mergeCells count="3">
    <mergeCell ref="C3:F4"/>
    <mergeCell ref="C46:D46"/>
    <mergeCell ref="C47:D47"/>
  </mergeCells>
  <pageMargins left="0.25" right="0.25" top="0.75" bottom="0.75" header="0.3" footer="0.3"/>
  <pageSetup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4B5-7321-4B7E-895E-CF1D2DBB09FC}">
  <sheetPr>
    <pageSetUpPr fitToPage="1"/>
  </sheetPr>
  <dimension ref="A1:K76"/>
  <sheetViews>
    <sheetView topLeftCell="C1" zoomScale="115" zoomScaleNormal="115" workbookViewId="0">
      <selection activeCell="D12" sqref="D12"/>
    </sheetView>
  </sheetViews>
  <sheetFormatPr defaultColWidth="10" defaultRowHeight="12" x14ac:dyDescent="0.2"/>
  <cols>
    <col min="1" max="1" width="10" style="439"/>
    <col min="2" max="2" width="33" style="439" bestFit="1" customWidth="1"/>
    <col min="3" max="3" width="13.5703125" style="439" customWidth="1"/>
    <col min="4" max="4" width="10" style="439"/>
    <col min="5" max="5" width="10.85546875" style="439" customWidth="1"/>
    <col min="6" max="6" width="11.28515625" style="439" customWidth="1"/>
    <col min="7" max="7" width="23.140625" style="439" customWidth="1"/>
    <col min="8" max="8" width="10.85546875" style="439" customWidth="1"/>
    <col min="9" max="16384" width="10" style="439"/>
  </cols>
  <sheetData>
    <row r="1" spans="2:11" ht="19.5" customHeight="1" x14ac:dyDescent="0.2"/>
    <row r="2" spans="2:11" ht="19.5" customHeight="1" x14ac:dyDescent="0.2"/>
    <row r="3" spans="2:11" ht="17.25" customHeight="1" thickBot="1" x14ac:dyDescent="0.25">
      <c r="B3" s="346">
        <v>45000</v>
      </c>
    </row>
    <row r="4" spans="2:11" ht="21" customHeight="1" thickBot="1" x14ac:dyDescent="0.25">
      <c r="B4" s="973" t="s">
        <v>312</v>
      </c>
      <c r="C4" s="974"/>
      <c r="D4" s="974"/>
      <c r="E4" s="975"/>
      <c r="G4" s="973" t="s">
        <v>324</v>
      </c>
      <c r="H4" s="974"/>
      <c r="I4" s="974"/>
      <c r="J4" s="974"/>
      <c r="K4" s="975"/>
    </row>
    <row r="5" spans="2:11" ht="12.75" thickBot="1" x14ac:dyDescent="0.25">
      <c r="B5" s="440" t="s">
        <v>313</v>
      </c>
      <c r="C5" s="441">
        <v>15</v>
      </c>
      <c r="D5" s="442" t="s">
        <v>166</v>
      </c>
      <c r="E5" s="443">
        <v>5475</v>
      </c>
      <c r="G5" s="811" t="s">
        <v>325</v>
      </c>
      <c r="H5" s="490" t="s">
        <v>226</v>
      </c>
      <c r="I5" s="846"/>
      <c r="J5" s="506" t="s">
        <v>131</v>
      </c>
      <c r="K5" s="491"/>
    </row>
    <row r="6" spans="2:11" ht="15" customHeight="1" thickBot="1" x14ac:dyDescent="0.25">
      <c r="B6" s="507"/>
      <c r="C6" s="508"/>
      <c r="D6" s="509" t="s">
        <v>169</v>
      </c>
      <c r="E6" s="510" t="s">
        <v>170</v>
      </c>
      <c r="G6" s="444" t="s">
        <v>281</v>
      </c>
      <c r="H6" s="826">
        <v>1</v>
      </c>
      <c r="I6" s="827"/>
      <c r="J6" s="364" t="str">
        <f>'[23]YouthRes  (FY24)'!E44</f>
        <v>BLS 2021 Median 53%</v>
      </c>
      <c r="K6" s="493"/>
    </row>
    <row r="7" spans="2:11" ht="15" customHeight="1" x14ac:dyDescent="0.2">
      <c r="B7" s="126" t="s">
        <v>172</v>
      </c>
      <c r="C7" s="120"/>
      <c r="D7" s="277">
        <v>1</v>
      </c>
      <c r="E7" s="135">
        <v>72975</v>
      </c>
      <c r="G7" s="444" t="s">
        <v>284</v>
      </c>
      <c r="H7" s="826">
        <v>1</v>
      </c>
      <c r="I7" s="827"/>
      <c r="J7" s="364" t="str">
        <f>'[23]YouthRes  (FY24)'!E46</f>
        <v>BLS 2021 Median 53%</v>
      </c>
      <c r="K7" s="493"/>
    </row>
    <row r="8" spans="2:11" ht="15" customHeight="1" x14ac:dyDescent="0.2">
      <c r="B8" s="126" t="s">
        <v>177</v>
      </c>
      <c r="C8" s="120"/>
      <c r="D8" s="218">
        <v>5.8</v>
      </c>
      <c r="E8" s="135">
        <f>251178+123533</f>
        <v>374711</v>
      </c>
      <c r="G8" s="444" t="s">
        <v>314</v>
      </c>
      <c r="H8" s="828">
        <v>2</v>
      </c>
      <c r="I8" s="827"/>
      <c r="J8" s="829" t="s">
        <v>326</v>
      </c>
      <c r="K8" s="493"/>
    </row>
    <row r="9" spans="2:11" ht="15" customHeight="1" x14ac:dyDescent="0.2">
      <c r="B9" s="137" t="s">
        <v>220</v>
      </c>
      <c r="C9" s="273"/>
      <c r="D9" s="278">
        <v>16.32</v>
      </c>
      <c r="E9" s="275">
        <v>681254</v>
      </c>
      <c r="G9" s="446" t="s">
        <v>128</v>
      </c>
      <c r="H9" s="495">
        <v>0.35</v>
      </c>
      <c r="I9" s="827"/>
      <c r="J9" s="364" t="str">
        <f>'[23]YouthRes  (FY24)'!E50</f>
        <v>BLS 2021 Median 53%</v>
      </c>
      <c r="K9" s="493"/>
    </row>
    <row r="10" spans="2:11" ht="15" customHeight="1" x14ac:dyDescent="0.2">
      <c r="B10" s="447"/>
      <c r="C10" s="448"/>
      <c r="D10" s="449">
        <f>SUM(D7:D9)</f>
        <v>23.12</v>
      </c>
      <c r="E10" s="450">
        <f>SUM(E7:E9)</f>
        <v>1128940</v>
      </c>
      <c r="G10" s="444" t="s">
        <v>585</v>
      </c>
      <c r="H10" s="828">
        <v>2.4500000000000002</v>
      </c>
      <c r="I10" s="827"/>
      <c r="J10" s="829" t="s">
        <v>326</v>
      </c>
      <c r="K10" s="493"/>
    </row>
    <row r="11" spans="2:11" ht="15" customHeight="1" x14ac:dyDescent="0.2">
      <c r="B11" s="453" t="str">
        <f>G19</f>
        <v>Tax &amp; Fringe</v>
      </c>
      <c r="C11" s="454">
        <f>H19</f>
        <v>0.25390000000000001</v>
      </c>
      <c r="D11" s="455"/>
      <c r="E11" s="452">
        <f>E10*C11</f>
        <v>286637.86600000004</v>
      </c>
      <c r="G11" s="444" t="s">
        <v>327</v>
      </c>
      <c r="H11" s="828">
        <v>0.5</v>
      </c>
      <c r="I11" s="827"/>
      <c r="J11" s="829" t="s">
        <v>326</v>
      </c>
      <c r="K11" s="493"/>
    </row>
    <row r="12" spans="2:11" ht="15" customHeight="1" x14ac:dyDescent="0.2">
      <c r="B12" s="361" t="s">
        <v>483</v>
      </c>
      <c r="C12" s="435">
        <f>H22</f>
        <v>2.7812E-2</v>
      </c>
      <c r="D12" s="364"/>
      <c r="E12" s="363">
        <f>(E10+E11)*C12</f>
        <v>39370.051609192</v>
      </c>
      <c r="G12" s="444" t="s">
        <v>315</v>
      </c>
      <c r="H12" s="828">
        <v>1</v>
      </c>
      <c r="I12" s="827"/>
      <c r="J12" s="829" t="s">
        <v>326</v>
      </c>
      <c r="K12" s="494"/>
    </row>
    <row r="13" spans="2:11" ht="15" customHeight="1" thickBot="1" x14ac:dyDescent="0.25">
      <c r="B13" s="456" t="s">
        <v>194</v>
      </c>
      <c r="C13" s="457"/>
      <c r="D13" s="458"/>
      <c r="E13" s="459">
        <f>SUM(E10:E12)</f>
        <v>1454947.917609192</v>
      </c>
      <c r="G13" s="444" t="s">
        <v>316</v>
      </c>
      <c r="H13" s="828">
        <v>1.8</v>
      </c>
      <c r="I13" s="827"/>
      <c r="J13" s="829" t="s">
        <v>326</v>
      </c>
      <c r="K13" s="494"/>
    </row>
    <row r="14" spans="2:11" ht="15" customHeight="1" thickTop="1" x14ac:dyDescent="0.2">
      <c r="B14" s="460" t="str">
        <f>G20</f>
        <v>Program Expenses (per bed day)</v>
      </c>
      <c r="C14" s="445"/>
      <c r="D14" s="461">
        <f>H20</f>
        <v>53.435699999999997</v>
      </c>
      <c r="E14" s="452">
        <f>D14*E5</f>
        <v>292560.45749999996</v>
      </c>
      <c r="G14" s="444" t="s">
        <v>317</v>
      </c>
      <c r="H14" s="828">
        <v>8.75</v>
      </c>
      <c r="I14" s="827"/>
      <c r="J14" s="829" t="s">
        <v>326</v>
      </c>
      <c r="K14" s="494"/>
    </row>
    <row r="15" spans="2:11" ht="15" customHeight="1" x14ac:dyDescent="0.2">
      <c r="B15" s="465" t="s">
        <v>320</v>
      </c>
      <c r="C15" s="466"/>
      <c r="D15" s="467"/>
      <c r="E15" s="468">
        <f>SUM(E13:E14)</f>
        <v>1747508.375109192</v>
      </c>
      <c r="G15" s="444" t="s">
        <v>318</v>
      </c>
      <c r="H15" s="828">
        <v>1</v>
      </c>
      <c r="I15" s="827"/>
      <c r="J15" s="364" t="str">
        <f>'[23]YouthRes  (FY24)'!E52</f>
        <v>BLS 2021 Median 53%</v>
      </c>
      <c r="K15" s="494"/>
    </row>
    <row r="16" spans="2:11" ht="15" customHeight="1" x14ac:dyDescent="0.2">
      <c r="B16" s="462" t="str">
        <f>G21</f>
        <v>Admin Allocation</v>
      </c>
      <c r="C16" s="463"/>
      <c r="D16" s="464">
        <f>H21</f>
        <v>0.12</v>
      </c>
      <c r="E16" s="452">
        <f>(E15-E12)*D16</f>
        <v>204976.59881999998</v>
      </c>
      <c r="G16" s="444" t="s">
        <v>273</v>
      </c>
      <c r="H16" s="828">
        <v>1.5</v>
      </c>
      <c r="I16" s="827"/>
      <c r="J16" s="829" t="s">
        <v>326</v>
      </c>
      <c r="K16" s="494"/>
    </row>
    <row r="17" spans="2:11" ht="15" customHeight="1" thickBot="1" x14ac:dyDescent="0.25">
      <c r="B17" s="469" t="str">
        <f>G22</f>
        <v>CAF</v>
      </c>
      <c r="C17" s="470"/>
      <c r="D17" s="471">
        <f>H22</f>
        <v>2.7812E-2</v>
      </c>
      <c r="E17" s="472">
        <f>E14*D17</f>
        <v>8136.6914439899992</v>
      </c>
      <c r="G17" s="444" t="s">
        <v>319</v>
      </c>
      <c r="H17" s="828">
        <v>1.7696000000000001</v>
      </c>
      <c r="I17" s="827"/>
      <c r="J17" s="355" t="str">
        <f>'[23]YouthRes  (FY24)'!E54</f>
        <v>BLS 2021 Median 53%</v>
      </c>
      <c r="K17" s="494"/>
    </row>
    <row r="18" spans="2:11" ht="15" customHeight="1" thickTop="1" thickBot="1" x14ac:dyDescent="0.25">
      <c r="B18" s="473" t="s">
        <v>200</v>
      </c>
      <c r="C18" s="474"/>
      <c r="D18" s="475"/>
      <c r="E18" s="476">
        <f>SUM(E15:E17)</f>
        <v>1960621.6653731819</v>
      </c>
      <c r="G18" s="976" t="s">
        <v>206</v>
      </c>
      <c r="H18" s="977"/>
      <c r="I18" s="977"/>
      <c r="J18" s="977"/>
      <c r="K18" s="978"/>
    </row>
    <row r="19" spans="2:11" ht="15" customHeight="1" thickBot="1" x14ac:dyDescent="0.25">
      <c r="B19" s="477" t="s">
        <v>321</v>
      </c>
      <c r="C19" s="478"/>
      <c r="D19" s="479"/>
      <c r="E19" s="480">
        <f>E18/E5</f>
        <v>358.1044137667912</v>
      </c>
      <c r="G19" s="497" t="s">
        <v>134</v>
      </c>
      <c r="H19" s="498">
        <v>0.25390000000000001</v>
      </c>
      <c r="I19" s="499" t="s">
        <v>328</v>
      </c>
      <c r="J19" s="499"/>
      <c r="K19" s="500"/>
    </row>
    <row r="20" spans="2:11" s="451" customFormat="1" ht="15" customHeight="1" thickBot="1" x14ac:dyDescent="0.25">
      <c r="B20" s="481" t="s">
        <v>322</v>
      </c>
      <c r="C20" s="482">
        <v>0.95</v>
      </c>
      <c r="D20" s="483"/>
      <c r="E20" s="484">
        <f>E19/C20</f>
        <v>376.95201449135919</v>
      </c>
      <c r="F20" s="439"/>
      <c r="G20" s="460" t="s">
        <v>329</v>
      </c>
      <c r="H20" s="461">
        <v>53.435699999999997</v>
      </c>
      <c r="I20" s="364" t="s">
        <v>301</v>
      </c>
      <c r="J20" s="439"/>
      <c r="K20" s="494"/>
    </row>
    <row r="21" spans="2:11" ht="15" customHeight="1" thickBot="1" x14ac:dyDescent="0.25">
      <c r="B21" s="481" t="s">
        <v>241</v>
      </c>
      <c r="C21" s="482">
        <v>0.9</v>
      </c>
      <c r="D21" s="483"/>
      <c r="E21" s="487">
        <f>E19/C21</f>
        <v>397.89379307421245</v>
      </c>
      <c r="G21" s="460" t="s">
        <v>330</v>
      </c>
      <c r="H21" s="362">
        <v>0.12</v>
      </c>
      <c r="I21" s="439" t="s">
        <v>328</v>
      </c>
      <c r="K21" s="494"/>
    </row>
    <row r="22" spans="2:11" ht="15" customHeight="1" thickBot="1" x14ac:dyDescent="0.25">
      <c r="B22" s="481" t="s">
        <v>323</v>
      </c>
      <c r="C22" s="482">
        <v>0.85</v>
      </c>
      <c r="D22" s="483"/>
      <c r="E22" s="484">
        <f>E19/C22</f>
        <v>421.29931031387201</v>
      </c>
      <c r="G22" s="503" t="s">
        <v>137</v>
      </c>
      <c r="H22" s="483">
        <v>2.7812E-2</v>
      </c>
      <c r="I22" s="504" t="str">
        <f>'[23]YouthRes  (FY24)'!E83</f>
        <v xml:space="preserve"> Prospective FY22 &amp; FY23</v>
      </c>
      <c r="J22" s="504"/>
      <c r="K22" s="505"/>
    </row>
    <row r="23" spans="2:11" ht="15" customHeight="1" thickBot="1" x14ac:dyDescent="0.25">
      <c r="B23" s="481" t="s">
        <v>240</v>
      </c>
      <c r="C23" s="482">
        <v>0.8</v>
      </c>
      <c r="D23" s="483"/>
      <c r="E23" s="484">
        <f>E19/C23</f>
        <v>447.63051720848898</v>
      </c>
    </row>
    <row r="24" spans="2:11" ht="15" customHeight="1" x14ac:dyDescent="0.2"/>
    <row r="25" spans="2:11" ht="21" customHeight="1" x14ac:dyDescent="0.2"/>
    <row r="26" spans="2:11" ht="15" customHeight="1" x14ac:dyDescent="0.2"/>
    <row r="27" spans="2:11" ht="15" customHeight="1" x14ac:dyDescent="0.2"/>
    <row r="28" spans="2:11" ht="15" customHeight="1" x14ac:dyDescent="0.2"/>
    <row r="29" spans="2:11" ht="15" customHeight="1" x14ac:dyDescent="0.2"/>
    <row r="30" spans="2:11" ht="15" customHeight="1" x14ac:dyDescent="0.2">
      <c r="G30" s="485"/>
      <c r="H30" s="486"/>
    </row>
    <row r="31" spans="2:11" ht="15" customHeight="1" x14ac:dyDescent="0.2">
      <c r="G31" s="488"/>
      <c r="H31" s="486"/>
    </row>
    <row r="32" spans="2:11" ht="15" customHeight="1" x14ac:dyDescent="0.2">
      <c r="H32" s="486"/>
    </row>
    <row r="33" spans="1:8" ht="15" customHeight="1" x14ac:dyDescent="0.2">
      <c r="H33" s="486"/>
    </row>
    <row r="34" spans="1:8" ht="15" customHeight="1" x14ac:dyDescent="0.2">
      <c r="A34" s="488"/>
    </row>
    <row r="35" spans="1:8" ht="15" customHeight="1" x14ac:dyDescent="0.2">
      <c r="G35" s="489"/>
      <c r="H35" s="489"/>
    </row>
    <row r="36" spans="1:8" ht="15" customHeight="1" x14ac:dyDescent="0.2">
      <c r="G36" s="492"/>
      <c r="H36" s="492"/>
    </row>
    <row r="37" spans="1:8" ht="20.25" customHeight="1" x14ac:dyDescent="0.2">
      <c r="G37" s="492"/>
      <c r="H37" s="492"/>
    </row>
    <row r="38" spans="1:8" ht="20.25" customHeight="1" x14ac:dyDescent="0.2">
      <c r="G38" s="492"/>
      <c r="H38" s="492"/>
    </row>
    <row r="39" spans="1:8" ht="20.25" customHeight="1" x14ac:dyDescent="0.2">
      <c r="G39" s="492"/>
      <c r="H39" s="492"/>
    </row>
    <row r="40" spans="1:8" ht="20.25" customHeight="1" x14ac:dyDescent="0.2">
      <c r="G40" s="492"/>
      <c r="H40" s="492"/>
    </row>
    <row r="41" spans="1:8" x14ac:dyDescent="0.2">
      <c r="G41" s="492"/>
      <c r="H41" s="492"/>
    </row>
    <row r="45" spans="1:8" ht="12.75" x14ac:dyDescent="0.2">
      <c r="F45" s="345"/>
    </row>
    <row r="46" spans="1:8" ht="12.75" x14ac:dyDescent="0.2">
      <c r="B46" s="345"/>
      <c r="C46" s="345"/>
      <c r="D46" s="345"/>
      <c r="E46" s="345"/>
      <c r="F46" s="345"/>
    </row>
    <row r="47" spans="1:8" ht="15" customHeight="1" x14ac:dyDescent="0.2">
      <c r="B47" s="345"/>
      <c r="C47" s="345"/>
      <c r="D47" s="345"/>
      <c r="E47" s="345"/>
      <c r="F47" s="345"/>
    </row>
    <row r="48" spans="1:8" ht="18" customHeight="1" x14ac:dyDescent="0.2">
      <c r="B48" s="345"/>
      <c r="C48" s="345"/>
      <c r="D48" s="345"/>
      <c r="E48" s="345"/>
      <c r="F48" s="345"/>
    </row>
    <row r="49" spans="2:11" ht="18" customHeight="1" x14ac:dyDescent="0.2">
      <c r="B49" s="345"/>
      <c r="C49" s="345"/>
      <c r="D49" s="345"/>
      <c r="E49" s="345"/>
      <c r="F49" s="345"/>
    </row>
    <row r="50" spans="2:11" ht="18" customHeight="1" x14ac:dyDescent="0.2">
      <c r="B50" s="345"/>
      <c r="C50" s="345"/>
      <c r="D50" s="345"/>
      <c r="E50" s="345"/>
      <c r="F50" s="345"/>
    </row>
    <row r="51" spans="2:11" ht="18" customHeight="1" x14ac:dyDescent="0.2">
      <c r="C51" s="345"/>
      <c r="D51" s="345"/>
      <c r="E51" s="345"/>
      <c r="F51" s="345"/>
    </row>
    <row r="52" spans="2:11" ht="18" customHeight="1" x14ac:dyDescent="0.2">
      <c r="B52" s="345"/>
      <c r="C52" s="345"/>
      <c r="D52" s="345"/>
      <c r="E52" s="345"/>
      <c r="F52" s="345"/>
    </row>
    <row r="53" spans="2:11" ht="15" customHeight="1" x14ac:dyDescent="0.2">
      <c r="B53" s="345"/>
      <c r="C53" s="345"/>
      <c r="D53" s="345"/>
      <c r="E53" s="345"/>
      <c r="F53" s="345"/>
    </row>
    <row r="54" spans="2:11" ht="12.75" x14ac:dyDescent="0.2">
      <c r="B54" s="345"/>
      <c r="C54" s="345"/>
      <c r="D54" s="345"/>
      <c r="E54" s="345"/>
    </row>
    <row r="59" spans="2:11" ht="15" customHeight="1" x14ac:dyDescent="0.2"/>
    <row r="60" spans="2:11" ht="12.75" x14ac:dyDescent="0.2">
      <c r="H60" s="345"/>
      <c r="I60" s="405"/>
      <c r="J60" s="405"/>
      <c r="K60" s="496"/>
    </row>
    <row r="62" spans="2:11" ht="12.75" x14ac:dyDescent="0.2">
      <c r="H62" s="409"/>
      <c r="I62" s="413"/>
      <c r="J62" s="414"/>
      <c r="K62" s="414"/>
    </row>
    <row r="63" spans="2:11" ht="12.75" x14ac:dyDescent="0.2">
      <c r="H63" s="409"/>
      <c r="I63" s="501"/>
      <c r="J63" s="414"/>
      <c r="K63" s="502"/>
    </row>
    <row r="64" spans="2:11" ht="12.75" x14ac:dyDescent="0.2">
      <c r="H64" s="409"/>
      <c r="I64" s="410"/>
      <c r="J64" s="414"/>
      <c r="K64" s="414"/>
    </row>
    <row r="68" spans="7:8" ht="12.75" x14ac:dyDescent="0.2">
      <c r="G68" s="345"/>
      <c r="H68" s="345"/>
    </row>
    <row r="69" spans="7:8" ht="12.75" x14ac:dyDescent="0.2">
      <c r="G69" s="345"/>
      <c r="H69" s="345"/>
    </row>
    <row r="70" spans="7:8" ht="12.75" x14ac:dyDescent="0.2">
      <c r="G70" s="345"/>
      <c r="H70" s="345"/>
    </row>
    <row r="71" spans="7:8" ht="12.75" x14ac:dyDescent="0.2">
      <c r="G71" s="345"/>
      <c r="H71" s="345"/>
    </row>
    <row r="72" spans="7:8" ht="12.75" x14ac:dyDescent="0.2">
      <c r="G72" s="345"/>
      <c r="H72" s="345"/>
    </row>
    <row r="73" spans="7:8" ht="12.75" x14ac:dyDescent="0.2">
      <c r="G73" s="345"/>
      <c r="H73" s="345"/>
    </row>
    <row r="74" spans="7:8" ht="12.75" x14ac:dyDescent="0.2">
      <c r="G74" s="345"/>
      <c r="H74" s="345"/>
    </row>
    <row r="75" spans="7:8" ht="12.75" x14ac:dyDescent="0.2">
      <c r="G75" s="345"/>
      <c r="H75" s="345"/>
    </row>
    <row r="76" spans="7:8" ht="12.75" x14ac:dyDescent="0.2">
      <c r="G76" s="345"/>
      <c r="H76" s="345"/>
    </row>
  </sheetData>
  <mergeCells count="3">
    <mergeCell ref="B4:E4"/>
    <mergeCell ref="G4:K4"/>
    <mergeCell ref="G18:K18"/>
  </mergeCells>
  <pageMargins left="0.45" right="0.2" top="0.25" bottom="0.25" header="0.3" footer="0.3"/>
  <pageSetup scale="6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8329-1DED-48CC-BDFB-9ED546B02DE2}">
  <sheetPr>
    <pageSetUpPr fitToPage="1"/>
  </sheetPr>
  <dimension ref="A1:AK95"/>
  <sheetViews>
    <sheetView topLeftCell="P16" zoomScale="120" zoomScaleNormal="120" zoomScaleSheetLayoutView="110" workbookViewId="0">
      <selection activeCell="T17" sqref="T17"/>
    </sheetView>
  </sheetViews>
  <sheetFormatPr defaultColWidth="9.140625" defaultRowHeight="12.75" x14ac:dyDescent="0.2"/>
  <cols>
    <col min="1" max="1" width="31.85546875" style="120" hidden="1" customWidth="1"/>
    <col min="2" max="2" width="5.5703125" style="120" hidden="1" customWidth="1"/>
    <col min="3" max="3" width="12.85546875" style="120" hidden="1" customWidth="1"/>
    <col min="4" max="4" width="10.85546875" style="120" hidden="1" customWidth="1"/>
    <col min="5" max="6" width="13.140625" style="120" hidden="1" customWidth="1"/>
    <col min="7" max="7" width="0" style="120" hidden="1" customWidth="1"/>
    <col min="8" max="8" width="31.85546875" style="120" customWidth="1"/>
    <col min="9" max="9" width="11.5703125" style="120" customWidth="1"/>
    <col min="10" max="10" width="10.85546875" style="120" customWidth="1"/>
    <col min="11" max="11" width="16.42578125" style="120" customWidth="1"/>
    <col min="12" max="12" width="15.140625" style="536" customWidth="1"/>
    <col min="13" max="13" width="15.140625" style="536" hidden="1" customWidth="1"/>
    <col min="14" max="15" width="15.140625" style="516" hidden="1" customWidth="1"/>
    <col min="16" max="16" width="6.5703125" style="536" customWidth="1"/>
    <col min="17" max="17" width="25.140625" style="120" customWidth="1"/>
    <col min="18" max="18" width="10" style="120" customWidth="1"/>
    <col min="19" max="19" width="11.42578125" style="120" customWidth="1"/>
    <col min="20" max="20" width="24.85546875" style="120" bestFit="1" customWidth="1"/>
    <col min="21" max="21" width="10.140625" style="120" bestFit="1" customWidth="1"/>
    <col min="22" max="22" width="11.7109375" style="120" bestFit="1" customWidth="1"/>
    <col min="23" max="23" width="3.5703125" style="120" customWidth="1"/>
    <col min="24" max="24" width="13.85546875" style="120" bestFit="1" customWidth="1"/>
    <col min="25" max="25" width="11.85546875" style="120" customWidth="1"/>
    <col min="26" max="16384" width="9.140625" style="120"/>
  </cols>
  <sheetData>
    <row r="1" spans="1:25" ht="26.25" thickBot="1" x14ac:dyDescent="0.25">
      <c r="H1" s="983" t="s">
        <v>331</v>
      </c>
      <c r="I1" s="984"/>
      <c r="J1" s="984"/>
      <c r="K1" s="984"/>
      <c r="L1" s="987" t="s">
        <v>332</v>
      </c>
      <c r="M1" s="511" t="s">
        <v>333</v>
      </c>
      <c r="N1" s="511" t="s">
        <v>334</v>
      </c>
      <c r="O1" s="511"/>
      <c r="P1" s="511"/>
      <c r="Q1" s="921" t="s">
        <v>335</v>
      </c>
      <c r="R1" s="921"/>
      <c r="S1" s="921"/>
      <c r="T1" s="921"/>
    </row>
    <row r="2" spans="1:25" ht="27" customHeight="1" thickBot="1" x14ac:dyDescent="0.25">
      <c r="G2" s="120">
        <f>7.2*3</f>
        <v>21.6</v>
      </c>
      <c r="H2" s="985"/>
      <c r="I2" s="986"/>
      <c r="J2" s="986"/>
      <c r="K2" s="986"/>
      <c r="L2" s="988"/>
      <c r="M2" s="512"/>
      <c r="N2" s="512"/>
      <c r="O2" s="512"/>
      <c r="P2" s="512"/>
    </row>
    <row r="3" spans="1:25" ht="15" customHeight="1" x14ac:dyDescent="0.2">
      <c r="H3" s="124" t="s">
        <v>165</v>
      </c>
      <c r="I3" s="128">
        <f>$S$16</f>
        <v>15</v>
      </c>
      <c r="J3" s="200" t="s">
        <v>166</v>
      </c>
      <c r="K3" s="241">
        <f>I3*365</f>
        <v>5475</v>
      </c>
      <c r="L3" s="513" t="s">
        <v>336</v>
      </c>
      <c r="M3" s="514"/>
      <c r="N3" s="514"/>
      <c r="O3" s="514"/>
      <c r="P3" s="514"/>
      <c r="Q3" s="124" t="s">
        <v>167</v>
      </c>
      <c r="R3" s="922" t="s">
        <v>168</v>
      </c>
      <c r="S3" s="922"/>
      <c r="T3" s="125"/>
    </row>
    <row r="4" spans="1:25" ht="15" customHeight="1" x14ac:dyDescent="0.2">
      <c r="H4" s="221"/>
      <c r="I4" s="222"/>
      <c r="J4" s="222" t="s">
        <v>169</v>
      </c>
      <c r="K4" s="222" t="s">
        <v>170</v>
      </c>
      <c r="L4" s="515"/>
      <c r="M4" s="516"/>
      <c r="P4" s="516"/>
      <c r="Q4" s="122"/>
      <c r="R4" s="128" t="s">
        <v>156</v>
      </c>
      <c r="S4" s="129" t="s">
        <v>157</v>
      </c>
      <c r="T4" s="130"/>
    </row>
    <row r="5" spans="1:25" ht="15" customHeight="1" x14ac:dyDescent="0.2">
      <c r="H5" s="250" t="s">
        <v>172</v>
      </c>
      <c r="I5" s="134"/>
      <c r="J5" s="218">
        <v>4.2</v>
      </c>
      <c r="K5" s="134">
        <f>306494</f>
        <v>306494</v>
      </c>
      <c r="L5" s="515"/>
      <c r="M5" s="516"/>
      <c r="P5" s="516"/>
      <c r="Q5" s="126" t="s">
        <v>171</v>
      </c>
      <c r="R5" s="121">
        <v>15</v>
      </c>
      <c r="S5" s="121">
        <f>R5*8</f>
        <v>120</v>
      </c>
      <c r="T5" s="130"/>
    </row>
    <row r="6" spans="1:25" ht="15" customHeight="1" x14ac:dyDescent="0.2">
      <c r="A6" s="989" t="s">
        <v>337</v>
      </c>
      <c r="B6" s="990"/>
      <c r="C6" s="990"/>
      <c r="D6" s="990"/>
      <c r="E6" s="990"/>
      <c r="F6" s="992" t="s">
        <v>338</v>
      </c>
      <c r="H6" s="126" t="s">
        <v>339</v>
      </c>
      <c r="I6" s="134"/>
      <c r="J6" s="218">
        <f>SUM(S19:S24)</f>
        <v>16.600000000000001</v>
      </c>
      <c r="K6" s="134">
        <f>1690580</f>
        <v>1690580</v>
      </c>
      <c r="L6" s="515"/>
      <c r="M6" s="516"/>
      <c r="P6" s="516"/>
      <c r="Q6" s="126" t="s">
        <v>173</v>
      </c>
      <c r="R6" s="121">
        <v>10</v>
      </c>
      <c r="S6" s="121">
        <f>R6*8</f>
        <v>80</v>
      </c>
      <c r="T6" s="130"/>
    </row>
    <row r="7" spans="1:25" ht="15" customHeight="1" thickBot="1" x14ac:dyDescent="0.25">
      <c r="A7" s="991"/>
      <c r="B7" s="991"/>
      <c r="C7" s="991"/>
      <c r="D7" s="991"/>
      <c r="E7" s="991"/>
      <c r="F7" s="993"/>
      <c r="H7" s="137" t="s">
        <v>220</v>
      </c>
      <c r="I7" s="134"/>
      <c r="J7" s="218">
        <f>32.1+5.06</f>
        <v>37.160000000000004</v>
      </c>
      <c r="K7" s="134">
        <f>1598590.46+255230</f>
        <v>1853820.46</v>
      </c>
      <c r="L7" s="515"/>
      <c r="M7" s="516"/>
      <c r="P7" s="516"/>
      <c r="Q7" s="126" t="s">
        <v>174</v>
      </c>
      <c r="R7" s="121">
        <v>11</v>
      </c>
      <c r="S7" s="121">
        <f>R7*8</f>
        <v>88</v>
      </c>
      <c r="T7" s="136" t="s">
        <v>493</v>
      </c>
    </row>
    <row r="8" spans="1:25" ht="15" customHeight="1" x14ac:dyDescent="0.2">
      <c r="A8" s="200" t="s">
        <v>165</v>
      </c>
      <c r="B8" s="217">
        <f>$S$16</f>
        <v>15</v>
      </c>
      <c r="C8" s="200"/>
      <c r="D8" s="200" t="s">
        <v>166</v>
      </c>
      <c r="E8" s="241">
        <f>B8*365</f>
        <v>5475</v>
      </c>
      <c r="F8" s="517"/>
      <c r="H8" s="153" t="s">
        <v>187</v>
      </c>
      <c r="I8" s="154"/>
      <c r="J8" s="193">
        <f>SUM(J5:J7)</f>
        <v>57.960000000000008</v>
      </c>
      <c r="K8" s="519">
        <f>SUM(K5:K7)</f>
        <v>3850894.46</v>
      </c>
      <c r="L8" s="515"/>
      <c r="M8" s="516"/>
      <c r="P8" s="516"/>
      <c r="Q8" s="137" t="s">
        <v>176</v>
      </c>
      <c r="R8" s="138">
        <v>5</v>
      </c>
      <c r="S8" s="138">
        <f>R8*8</f>
        <v>40</v>
      </c>
      <c r="T8" s="139"/>
    </row>
    <row r="9" spans="1:25" ht="15" customHeight="1" x14ac:dyDescent="0.2">
      <c r="F9" s="518"/>
      <c r="H9" s="126"/>
      <c r="L9" s="515"/>
      <c r="M9" s="516"/>
      <c r="P9" s="516"/>
      <c r="Q9" s="126"/>
      <c r="R9" s="141" t="s">
        <v>161</v>
      </c>
      <c r="S9" s="121">
        <f>SUM(S5:S8)</f>
        <v>328</v>
      </c>
      <c r="T9" s="142"/>
    </row>
    <row r="10" spans="1:25" ht="15" customHeight="1" thickBot="1" x14ac:dyDescent="0.25">
      <c r="A10" s="131"/>
      <c r="B10" s="131"/>
      <c r="C10" s="222" t="s">
        <v>132</v>
      </c>
      <c r="D10" s="222" t="s">
        <v>169</v>
      </c>
      <c r="E10" s="222" t="s">
        <v>170</v>
      </c>
      <c r="F10" s="518"/>
      <c r="H10" s="122" t="s">
        <v>229</v>
      </c>
      <c r="J10" s="200" t="s">
        <v>189</v>
      </c>
      <c r="L10" s="515"/>
      <c r="M10" s="516"/>
      <c r="P10" s="516"/>
      <c r="Q10" s="144"/>
      <c r="R10" s="145" t="s">
        <v>178</v>
      </c>
      <c r="S10" s="280">
        <f>S9/(52*40)</f>
        <v>0.15769230769230769</v>
      </c>
      <c r="T10" s="292"/>
    </row>
    <row r="11" spans="1:25" ht="15" customHeight="1" x14ac:dyDescent="0.2">
      <c r="A11" s="342" t="s">
        <v>172</v>
      </c>
      <c r="C11" s="134" t="e">
        <f>#REF!</f>
        <v>#REF!</v>
      </c>
      <c r="D11" s="223">
        <f>$S$17</f>
        <v>4.2</v>
      </c>
      <c r="E11" s="134" t="e">
        <f>C11*D11</f>
        <v>#REF!</v>
      </c>
      <c r="F11" s="518"/>
      <c r="H11" s="126" t="s">
        <v>192</v>
      </c>
      <c r="I11" s="156">
        <f>'[25]M2021 BLS  SALARY CHART'!C38</f>
        <v>0.25390000000000001</v>
      </c>
      <c r="K11" s="134">
        <f>I11*K8</f>
        <v>977742.10339400009</v>
      </c>
      <c r="L11" s="515"/>
      <c r="M11" s="516"/>
      <c r="P11" s="516"/>
      <c r="Q11" s="209"/>
      <c r="R11" s="210"/>
      <c r="S11" s="210"/>
      <c r="T11" s="520"/>
    </row>
    <row r="12" spans="1:25" ht="15" customHeight="1" x14ac:dyDescent="0.2">
      <c r="A12" s="200" t="s">
        <v>177</v>
      </c>
      <c r="C12" s="134"/>
      <c r="D12" s="223"/>
      <c r="E12" s="134"/>
      <c r="F12" s="518"/>
      <c r="H12" s="126" t="s">
        <v>483</v>
      </c>
      <c r="I12" s="156">
        <f>S39</f>
        <v>2.7812E-2</v>
      </c>
      <c r="K12" s="134">
        <f>I12*(K8+K11)</f>
        <v>134294.04010111393</v>
      </c>
      <c r="L12" s="515"/>
      <c r="M12" s="516"/>
      <c r="P12" s="516"/>
      <c r="Q12" s="126"/>
      <c r="S12" s="134"/>
      <c r="T12" s="127"/>
    </row>
    <row r="13" spans="1:25" ht="15" customHeight="1" x14ac:dyDescent="0.2">
      <c r="A13" s="120" t="s">
        <v>183</v>
      </c>
      <c r="C13" s="134" t="e">
        <f>#REF!</f>
        <v>#REF!</v>
      </c>
      <c r="D13" s="223">
        <f>$S$19</f>
        <v>1</v>
      </c>
      <c r="E13" s="134" t="e">
        <f t="shared" ref="E13:E26" si="0">C13*D13</f>
        <v>#REF!</v>
      </c>
      <c r="F13" s="518"/>
      <c r="H13" s="153" t="s">
        <v>194</v>
      </c>
      <c r="I13" s="154"/>
      <c r="J13" s="157"/>
      <c r="K13" s="519">
        <f>SUM(K8:K12)</f>
        <v>4962930.6034951136</v>
      </c>
      <c r="L13" s="515"/>
      <c r="M13" s="516">
        <v>2784594</v>
      </c>
      <c r="N13" s="521">
        <f>3453166</f>
        <v>3453166</v>
      </c>
      <c r="O13" s="516" t="s">
        <v>341</v>
      </c>
      <c r="P13" s="516"/>
      <c r="Q13" s="979" t="s">
        <v>356</v>
      </c>
      <c r="R13" s="980"/>
      <c r="S13" s="980"/>
      <c r="T13" s="981"/>
    </row>
    <row r="14" spans="1:25" ht="15" customHeight="1" x14ac:dyDescent="0.2">
      <c r="A14" s="120" t="s">
        <v>342</v>
      </c>
      <c r="C14" s="134" t="e">
        <f>#REF!</f>
        <v>#REF!</v>
      </c>
      <c r="D14" s="223">
        <f>$S$20</f>
        <v>1</v>
      </c>
      <c r="E14" s="134" t="e">
        <f>C14*D14</f>
        <v>#REF!</v>
      </c>
      <c r="F14" s="518"/>
      <c r="H14" s="126" t="s">
        <v>216</v>
      </c>
      <c r="J14" s="158">
        <f>S36</f>
        <v>11.99</v>
      </c>
      <c r="K14" s="242">
        <f>J14*K3</f>
        <v>65645.25</v>
      </c>
      <c r="L14" s="515"/>
      <c r="M14" s="516"/>
      <c r="N14" s="516">
        <f>K13-N13</f>
        <v>1509764.6034951136</v>
      </c>
      <c r="P14" s="516"/>
      <c r="Q14" s="126"/>
      <c r="S14" s="538" t="s">
        <v>298</v>
      </c>
      <c r="T14" s="127"/>
      <c r="U14" s="980"/>
      <c r="V14" s="980"/>
      <c r="X14" s="980"/>
      <c r="Y14" s="980"/>
    </row>
    <row r="15" spans="1:25" ht="15" customHeight="1" x14ac:dyDescent="0.2">
      <c r="A15" s="120" t="s">
        <v>184</v>
      </c>
      <c r="C15" s="134" t="e">
        <f>#REF!</f>
        <v>#REF!</v>
      </c>
      <c r="D15" s="223">
        <f>$S$21</f>
        <v>8.1</v>
      </c>
      <c r="E15" s="134" t="e">
        <f t="shared" si="0"/>
        <v>#REF!</v>
      </c>
      <c r="F15" s="518"/>
      <c r="H15" s="126" t="s">
        <v>343</v>
      </c>
      <c r="J15" s="158">
        <v>4.5</v>
      </c>
      <c r="K15" s="242">
        <f>K3*J15</f>
        <v>24637.5</v>
      </c>
      <c r="L15" s="515"/>
      <c r="M15" s="516"/>
      <c r="P15" s="516"/>
      <c r="Q15" s="126" t="s">
        <v>359</v>
      </c>
      <c r="R15" s="539"/>
      <c r="S15" s="539"/>
      <c r="T15" s="540"/>
      <c r="U15" s="128"/>
      <c r="X15" s="980"/>
      <c r="Y15" s="980"/>
    </row>
    <row r="16" spans="1:25" ht="15" customHeight="1" x14ac:dyDescent="0.2">
      <c r="A16" s="120" t="s">
        <v>186</v>
      </c>
      <c r="C16" s="134" t="e">
        <f>#REF!</f>
        <v>#REF!</v>
      </c>
      <c r="D16" s="223">
        <f>$S$22</f>
        <v>1</v>
      </c>
      <c r="E16" s="134" t="e">
        <f t="shared" si="0"/>
        <v>#REF!</v>
      </c>
      <c r="F16" s="518"/>
      <c r="H16" s="126" t="s">
        <v>344</v>
      </c>
      <c r="J16" s="158">
        <v>27.3</v>
      </c>
      <c r="K16" s="242">
        <f>J16*K3</f>
        <v>149467.5</v>
      </c>
      <c r="L16" s="515"/>
      <c r="M16" s="516">
        <f>(K13-M13)/M13</f>
        <v>0.78228158341758747</v>
      </c>
      <c r="N16" s="516">
        <f>(K13-N13)/N13</f>
        <v>0.43721170760256345</v>
      </c>
      <c r="O16" s="521">
        <f>M16-N16</f>
        <v>0.34506987581502402</v>
      </c>
      <c r="P16" s="516"/>
      <c r="Q16" s="126" t="s">
        <v>361</v>
      </c>
      <c r="R16" s="138"/>
      <c r="S16" s="138">
        <v>15</v>
      </c>
      <c r="T16" s="307"/>
      <c r="U16" s="538"/>
      <c r="V16" s="240"/>
      <c r="W16" s="832"/>
      <c r="X16" s="832"/>
      <c r="Y16" s="200"/>
    </row>
    <row r="17" spans="1:37" ht="15" customHeight="1" x14ac:dyDescent="0.2">
      <c r="A17" s="120" t="s">
        <v>188</v>
      </c>
      <c r="C17" s="134" t="e">
        <f>#REF!</f>
        <v>#REF!</v>
      </c>
      <c r="D17" s="223">
        <f>$S$23</f>
        <v>3</v>
      </c>
      <c r="E17" s="134" t="e">
        <f t="shared" si="0"/>
        <v>#REF!</v>
      </c>
      <c r="F17" s="518"/>
      <c r="H17" s="126" t="s">
        <v>217</v>
      </c>
      <c r="J17" s="158">
        <f>S37</f>
        <v>25</v>
      </c>
      <c r="K17" s="242">
        <f>J17*K3</f>
        <v>136875</v>
      </c>
      <c r="L17" s="515"/>
      <c r="M17" s="516"/>
      <c r="P17" s="516"/>
      <c r="Q17" s="122" t="s">
        <v>172</v>
      </c>
      <c r="R17" s="223"/>
      <c r="S17" s="223">
        <v>4.2</v>
      </c>
      <c r="T17" s="878" t="s">
        <v>282</v>
      </c>
      <c r="U17" s="223"/>
      <c r="V17" s="134"/>
      <c r="W17" s="134"/>
      <c r="X17" s="516"/>
      <c r="Y17" s="243"/>
    </row>
    <row r="18" spans="1:37" ht="15" customHeight="1" x14ac:dyDescent="0.2">
      <c r="A18" s="120" t="s">
        <v>347</v>
      </c>
      <c r="C18" s="134" t="e">
        <f>#REF!</f>
        <v>#REF!</v>
      </c>
      <c r="D18" s="223">
        <f>$S$24</f>
        <v>2.5</v>
      </c>
      <c r="E18" s="134" t="e">
        <f t="shared" si="0"/>
        <v>#REF!</v>
      </c>
      <c r="F18" s="518"/>
      <c r="H18" s="153" t="s">
        <v>198</v>
      </c>
      <c r="I18" s="154"/>
      <c r="J18" s="154"/>
      <c r="K18" s="519">
        <f>SUM(K13:K17)</f>
        <v>5339555.8534951136</v>
      </c>
      <c r="L18" s="515"/>
      <c r="M18" s="516"/>
      <c r="P18" s="516"/>
      <c r="Q18" s="122" t="s">
        <v>177</v>
      </c>
      <c r="R18" s="223"/>
      <c r="S18" s="223"/>
      <c r="T18" s="541"/>
      <c r="V18" s="134"/>
      <c r="W18" s="134"/>
      <c r="X18" s="516"/>
      <c r="Y18" s="243"/>
    </row>
    <row r="19" spans="1:37" ht="15" customHeight="1" x14ac:dyDescent="0.2">
      <c r="A19" s="200" t="s">
        <v>121</v>
      </c>
      <c r="C19" s="134"/>
      <c r="D19" s="223"/>
      <c r="E19" s="134"/>
      <c r="F19" s="518"/>
      <c r="H19" s="126" t="s">
        <v>199</v>
      </c>
      <c r="I19" s="156">
        <f>'[25]M2021 BLS  SALARY CHART'!C41</f>
        <v>0.12</v>
      </c>
      <c r="K19" s="134">
        <f>I19*(K18-K12)</f>
        <v>624631.41760727996</v>
      </c>
      <c r="L19" s="515"/>
      <c r="M19" s="516"/>
      <c r="P19" s="516"/>
      <c r="Q19" s="126" t="s">
        <v>362</v>
      </c>
      <c r="R19" s="223"/>
      <c r="S19" s="223">
        <v>1</v>
      </c>
      <c r="T19" s="878" t="s">
        <v>282</v>
      </c>
      <c r="U19" s="223"/>
      <c r="V19" s="134"/>
      <c r="W19" s="134"/>
      <c r="X19" s="516"/>
      <c r="Y19" s="243"/>
    </row>
    <row r="20" spans="1:37" ht="15" customHeight="1" x14ac:dyDescent="0.2">
      <c r="A20" s="120" t="s">
        <v>348</v>
      </c>
      <c r="C20" s="134" t="e">
        <f>#REF!</f>
        <v>#REF!</v>
      </c>
      <c r="D20" s="223">
        <f>$S$26</f>
        <v>2.5</v>
      </c>
      <c r="E20" s="134" t="e">
        <f t="shared" si="0"/>
        <v>#REF!</v>
      </c>
      <c r="F20" s="518"/>
      <c r="H20" s="126" t="s">
        <v>118</v>
      </c>
      <c r="I20" s="156">
        <f>S39</f>
        <v>2.7812E-2</v>
      </c>
      <c r="K20" s="134">
        <f>(K14+K15+K16+K17)*I20</f>
        <v>10474.701453</v>
      </c>
      <c r="L20" s="515"/>
      <c r="M20" s="516"/>
      <c r="N20" s="516">
        <v>57.97</v>
      </c>
      <c r="P20" s="516"/>
      <c r="Q20" s="522" t="s">
        <v>345</v>
      </c>
      <c r="R20" s="223"/>
      <c r="S20" s="223">
        <v>1</v>
      </c>
      <c r="T20" s="878" t="s">
        <v>282</v>
      </c>
      <c r="U20" s="223"/>
      <c r="V20" s="134"/>
      <c r="W20" s="134"/>
      <c r="X20" s="516"/>
      <c r="Y20" s="243"/>
    </row>
    <row r="21" spans="1:37" ht="15" customHeight="1" thickBot="1" x14ac:dyDescent="0.25">
      <c r="A21" s="120" t="s">
        <v>349</v>
      </c>
      <c r="C21" s="134" t="e">
        <f>#REF!</f>
        <v>#REF!</v>
      </c>
      <c r="D21" s="223">
        <f>$S$27</f>
        <v>2</v>
      </c>
      <c r="E21" s="134" t="e">
        <f t="shared" si="0"/>
        <v>#REF!</v>
      </c>
      <c r="F21" s="518"/>
      <c r="H21" s="160" t="s">
        <v>200</v>
      </c>
      <c r="I21" s="161"/>
      <c r="J21" s="161"/>
      <c r="K21" s="523">
        <f>SUM(K18:K20)</f>
        <v>5974661.9725553934</v>
      </c>
      <c r="L21" s="524"/>
      <c r="M21" s="525"/>
      <c r="N21" s="526">
        <v>46.81</v>
      </c>
      <c r="O21" s="525"/>
      <c r="P21" s="525"/>
      <c r="Q21" s="126" t="s">
        <v>363</v>
      </c>
      <c r="R21" s="223"/>
      <c r="S21" s="223">
        <v>8.1</v>
      </c>
      <c r="T21" s="878" t="s">
        <v>282</v>
      </c>
      <c r="U21" s="223"/>
      <c r="V21" s="134"/>
      <c r="W21" s="134"/>
      <c r="X21" s="516"/>
      <c r="Y21" s="243"/>
    </row>
    <row r="22" spans="1:37" ht="15" customHeight="1" thickTop="1" thickBot="1" x14ac:dyDescent="0.25">
      <c r="A22" s="120" t="s">
        <v>202</v>
      </c>
      <c r="C22" s="134" t="e">
        <f>#REF!</f>
        <v>#REF!</v>
      </c>
      <c r="D22" s="223">
        <f>$S$29</f>
        <v>21</v>
      </c>
      <c r="E22" s="134" t="e">
        <f t="shared" si="0"/>
        <v>#REF!</v>
      </c>
      <c r="F22" s="518"/>
      <c r="H22" s="126"/>
      <c r="I22" s="156"/>
      <c r="K22" s="243"/>
      <c r="L22" s="527"/>
      <c r="M22" s="528"/>
      <c r="N22" s="516">
        <f>N20-N21</f>
        <v>11.159999999999997</v>
      </c>
      <c r="O22" s="528"/>
      <c r="P22" s="528"/>
      <c r="Q22" s="126" t="s">
        <v>186</v>
      </c>
      <c r="R22" s="223"/>
      <c r="S22" s="223">
        <v>1</v>
      </c>
      <c r="T22" s="878" t="s">
        <v>282</v>
      </c>
      <c r="U22" s="223"/>
      <c r="V22" s="134"/>
      <c r="W22" s="134"/>
      <c r="X22" s="516"/>
      <c r="Y22" s="243"/>
    </row>
    <row r="23" spans="1:37" ht="15" customHeight="1" thickBot="1" x14ac:dyDescent="0.25">
      <c r="A23" s="323" t="s">
        <v>254</v>
      </c>
      <c r="C23" s="134" t="e">
        <f>#REF!</f>
        <v>#REF!</v>
      </c>
      <c r="D23" s="223">
        <f>$S$30</f>
        <v>5.0599999999999996</v>
      </c>
      <c r="E23" s="134" t="e">
        <f>C23*D23</f>
        <v>#REF!</v>
      </c>
      <c r="F23" s="518"/>
      <c r="H23" s="529" t="s">
        <v>350</v>
      </c>
      <c r="I23" s="183"/>
      <c r="J23" s="288"/>
      <c r="K23" s="288"/>
      <c r="L23" s="530">
        <f>K21/12</f>
        <v>497888.49771294947</v>
      </c>
      <c r="M23" s="531"/>
      <c r="N23" s="532"/>
      <c r="O23" s="532"/>
      <c r="P23" s="532"/>
      <c r="Q23" s="126" t="s">
        <v>188</v>
      </c>
      <c r="R23" s="223"/>
      <c r="S23" s="223">
        <v>3</v>
      </c>
      <c r="T23" s="878" t="s">
        <v>282</v>
      </c>
      <c r="U23" s="223"/>
      <c r="V23" s="134"/>
      <c r="W23" s="134"/>
      <c r="X23" s="516"/>
      <c r="Y23" s="243"/>
    </row>
    <row r="24" spans="1:37" x14ac:dyDescent="0.2">
      <c r="A24" s="200" t="s">
        <v>351</v>
      </c>
      <c r="C24" s="134"/>
      <c r="D24" s="223"/>
      <c r="E24" s="134"/>
      <c r="F24" s="518"/>
      <c r="H24" s="533"/>
      <c r="I24" s="534"/>
      <c r="J24" s="328"/>
      <c r="K24" s="328"/>
      <c r="L24" s="516"/>
      <c r="M24" s="516"/>
      <c r="P24" s="268"/>
      <c r="Q24" s="126" t="s">
        <v>347</v>
      </c>
      <c r="R24" s="223"/>
      <c r="S24" s="223">
        <v>2.5</v>
      </c>
      <c r="T24" s="878" t="s">
        <v>282</v>
      </c>
      <c r="U24" s="223"/>
      <c r="V24" s="134"/>
      <c r="W24" s="134"/>
      <c r="X24" s="516"/>
      <c r="Y24" s="243"/>
    </row>
    <row r="25" spans="1:37" x14ac:dyDescent="0.2">
      <c r="A25" s="120" t="s">
        <v>353</v>
      </c>
      <c r="C25" s="134" t="e">
        <f>#REF!</f>
        <v>#REF!</v>
      </c>
      <c r="D25" s="223">
        <f>$S$31</f>
        <v>1.4</v>
      </c>
      <c r="E25" s="134" t="e">
        <f t="shared" si="0"/>
        <v>#REF!</v>
      </c>
      <c r="F25" s="518"/>
      <c r="H25" s="533"/>
      <c r="I25" s="534"/>
      <c r="J25" s="328"/>
      <c r="K25" s="535"/>
      <c r="L25" s="528"/>
      <c r="M25" s="528"/>
      <c r="N25" s="528"/>
      <c r="O25" s="528"/>
      <c r="P25" s="268"/>
      <c r="Q25" s="122" t="s">
        <v>121</v>
      </c>
      <c r="R25" s="223"/>
      <c r="S25" s="223"/>
      <c r="T25" s="541"/>
      <c r="V25" s="134"/>
      <c r="W25" s="134"/>
      <c r="X25" s="516"/>
      <c r="Y25" s="243"/>
    </row>
    <row r="26" spans="1:37" x14ac:dyDescent="0.2">
      <c r="A26" s="120" t="s">
        <v>355</v>
      </c>
      <c r="C26" s="134" t="e">
        <f>#REF!</f>
        <v>#REF!</v>
      </c>
      <c r="D26" s="223">
        <f>$S$32</f>
        <v>4.2</v>
      </c>
      <c r="E26" s="134" t="e">
        <f t="shared" si="0"/>
        <v>#REF!</v>
      </c>
      <c r="F26" s="518"/>
      <c r="J26" s="328"/>
      <c r="K26" s="328"/>
      <c r="L26" s="516"/>
      <c r="M26" s="516"/>
      <c r="P26" s="516"/>
      <c r="Q26" s="126" t="s">
        <v>364</v>
      </c>
      <c r="R26" s="223"/>
      <c r="S26" s="223">
        <v>2.5</v>
      </c>
      <c r="T26" s="878" t="s">
        <v>282</v>
      </c>
      <c r="U26" s="223"/>
      <c r="V26" s="134"/>
      <c r="W26" s="134"/>
      <c r="X26" s="516"/>
      <c r="Y26" s="243"/>
    </row>
    <row r="27" spans="1:37" x14ac:dyDescent="0.2">
      <c r="A27" s="154" t="s">
        <v>187</v>
      </c>
      <c r="B27" s="154"/>
      <c r="C27" s="154"/>
      <c r="D27" s="225">
        <f>SUM(D11:D26)</f>
        <v>56.96</v>
      </c>
      <c r="E27" s="519" t="e">
        <f>SUM(E11:E26)</f>
        <v>#REF!</v>
      </c>
      <c r="F27" s="518"/>
      <c r="L27" s="516"/>
      <c r="M27" s="516"/>
      <c r="P27" s="516"/>
      <c r="Q27" s="126" t="s">
        <v>365</v>
      </c>
      <c r="R27" s="223"/>
      <c r="S27" s="223">
        <v>2</v>
      </c>
      <c r="T27" s="878" t="s">
        <v>282</v>
      </c>
      <c r="U27" s="223"/>
      <c r="V27" s="134"/>
      <c r="W27" s="134"/>
      <c r="X27" s="516"/>
      <c r="Y27" s="243"/>
    </row>
    <row r="28" spans="1:37" x14ac:dyDescent="0.2">
      <c r="F28" s="518"/>
      <c r="K28" s="141"/>
      <c r="L28" s="528"/>
      <c r="M28" s="516"/>
      <c r="P28" s="268"/>
      <c r="Q28" s="126" t="s">
        <v>352</v>
      </c>
      <c r="R28" s="223"/>
      <c r="S28" s="223">
        <v>1</v>
      </c>
      <c r="T28" s="878" t="s">
        <v>282</v>
      </c>
      <c r="V28" s="134"/>
      <c r="W28" s="134"/>
      <c r="X28" s="516"/>
      <c r="Y28" s="243"/>
      <c r="AC28" s="838"/>
    </row>
    <row r="29" spans="1:37" x14ac:dyDescent="0.2">
      <c r="F29" s="518"/>
      <c r="L29" s="516"/>
      <c r="M29" s="516"/>
      <c r="P29" s="516"/>
      <c r="Q29" s="126" t="s">
        <v>354</v>
      </c>
      <c r="R29" s="223"/>
      <c r="S29" s="223">
        <v>21</v>
      </c>
      <c r="T29" s="878" t="s">
        <v>282</v>
      </c>
      <c r="U29" s="223"/>
      <c r="V29" s="134"/>
      <c r="W29" s="134"/>
      <c r="X29" s="516"/>
      <c r="Y29" s="243"/>
      <c r="AC29" s="838"/>
    </row>
    <row r="30" spans="1:37" x14ac:dyDescent="0.2">
      <c r="A30" s="200" t="s">
        <v>229</v>
      </c>
      <c r="D30" s="200" t="s">
        <v>189</v>
      </c>
      <c r="F30" s="518"/>
      <c r="J30" s="982"/>
      <c r="K30" s="982"/>
      <c r="L30" s="528"/>
      <c r="M30" s="516"/>
      <c r="P30" s="516"/>
      <c r="Q30" s="322" t="s">
        <v>254</v>
      </c>
      <c r="R30" s="223"/>
      <c r="S30" s="223">
        <v>5.0599999999999996</v>
      </c>
      <c r="T30" s="878" t="s">
        <v>282</v>
      </c>
      <c r="U30" s="223"/>
      <c r="V30" s="134"/>
      <c r="W30" s="134"/>
      <c r="X30" s="516"/>
      <c r="Y30" s="243"/>
      <c r="AD30" s="128"/>
      <c r="AE30" s="128"/>
      <c r="AF30" s="128"/>
      <c r="AG30" s="128"/>
      <c r="AH30" s="128"/>
      <c r="AI30" s="128"/>
      <c r="AJ30" s="128"/>
    </row>
    <row r="31" spans="1:37" x14ac:dyDescent="0.2">
      <c r="A31" s="120" t="s">
        <v>192</v>
      </c>
      <c r="C31" s="156" t="e">
        <f>#REF!</f>
        <v>#REF!</v>
      </c>
      <c r="E31" s="134" t="e">
        <f>C31*E27</f>
        <v>#REF!</v>
      </c>
      <c r="F31" s="518"/>
      <c r="Q31" s="126" t="s">
        <v>353</v>
      </c>
      <c r="R31" s="223"/>
      <c r="S31" s="223">
        <v>1.4</v>
      </c>
      <c r="T31" s="878" t="s">
        <v>282</v>
      </c>
      <c r="U31" s="223"/>
      <c r="V31" s="134"/>
      <c r="W31" s="134"/>
      <c r="X31" s="516"/>
      <c r="Y31" s="243"/>
      <c r="AD31" s="121"/>
      <c r="AE31" s="121"/>
      <c r="AF31" s="121"/>
      <c r="AG31" s="121"/>
      <c r="AH31" s="121"/>
      <c r="AI31" s="121"/>
      <c r="AJ31" s="121"/>
      <c r="AK31" s="537"/>
    </row>
    <row r="32" spans="1:37" x14ac:dyDescent="0.2">
      <c r="A32" s="154" t="s">
        <v>194</v>
      </c>
      <c r="B32" s="154"/>
      <c r="C32" s="154"/>
      <c r="D32" s="157" t="e">
        <f>E32/E8</f>
        <v>#REF!</v>
      </c>
      <c r="E32" s="519" t="e">
        <f>E31+E27</f>
        <v>#REF!</v>
      </c>
      <c r="F32" s="518"/>
      <c r="Q32" s="126" t="s">
        <v>355</v>
      </c>
      <c r="R32" s="223"/>
      <c r="S32" s="223">
        <v>4.2</v>
      </c>
      <c r="T32" s="878" t="s">
        <v>282</v>
      </c>
      <c r="U32" s="223"/>
      <c r="V32" s="134"/>
      <c r="W32" s="134"/>
      <c r="X32" s="516"/>
      <c r="Y32" s="243"/>
      <c r="AD32" s="121"/>
      <c r="AE32" s="121"/>
      <c r="AF32" s="121"/>
      <c r="AG32" s="121"/>
      <c r="AH32" s="121"/>
      <c r="AI32" s="121"/>
      <c r="AJ32" s="121"/>
      <c r="AK32" s="537"/>
    </row>
    <row r="33" spans="1:37" ht="13.5" thickBot="1" x14ac:dyDescent="0.25">
      <c r="F33" s="518"/>
      <c r="Q33" s="144"/>
      <c r="R33" s="879"/>
      <c r="S33" s="879"/>
      <c r="T33" s="880"/>
      <c r="V33" s="156"/>
      <c r="X33" s="156"/>
      <c r="Y33" s="833"/>
      <c r="AD33" s="121"/>
      <c r="AE33" s="121"/>
      <c r="AF33" s="121"/>
      <c r="AG33" s="121"/>
      <c r="AH33" s="121"/>
      <c r="AI33" s="121"/>
      <c r="AJ33" s="121"/>
      <c r="AK33" s="537"/>
    </row>
    <row r="34" spans="1:37" x14ac:dyDescent="0.2">
      <c r="A34" s="120" t="s">
        <v>216</v>
      </c>
      <c r="D34" s="158">
        <f>$S$36</f>
        <v>11.99</v>
      </c>
      <c r="E34" s="242">
        <f>D34*E8</f>
        <v>65645.25</v>
      </c>
      <c r="F34" s="518"/>
      <c r="Q34" s="169" t="s">
        <v>369</v>
      </c>
      <c r="R34" s="268">
        <f>I11</f>
        <v>0.25390000000000001</v>
      </c>
      <c r="S34" s="223">
        <f>SUM(S17:S32)</f>
        <v>57.96</v>
      </c>
      <c r="T34" s="220"/>
      <c r="U34" s="223"/>
      <c r="V34" s="833"/>
      <c r="W34" s="833"/>
      <c r="X34" s="834"/>
      <c r="Y34" s="833"/>
      <c r="Z34" s="200"/>
      <c r="AA34" s="200"/>
      <c r="AB34" s="200"/>
    </row>
    <row r="35" spans="1:37" x14ac:dyDescent="0.2">
      <c r="A35" s="120" t="s">
        <v>217</v>
      </c>
      <c r="D35" s="158">
        <f>$S$37</f>
        <v>25</v>
      </c>
      <c r="E35" s="242">
        <f>D35*E8</f>
        <v>136875</v>
      </c>
      <c r="F35" s="518"/>
      <c r="Q35" s="169"/>
      <c r="R35" s="556"/>
      <c r="S35" s="223"/>
      <c r="T35" s="159"/>
      <c r="U35" s="156"/>
      <c r="V35" s="242"/>
      <c r="X35" s="835"/>
      <c r="Y35" s="242"/>
    </row>
    <row r="36" spans="1:37" x14ac:dyDescent="0.2">
      <c r="D36" s="542">
        <f>SUM(D34:D35)</f>
        <v>36.99</v>
      </c>
      <c r="F36" s="518"/>
      <c r="Q36" s="126" t="s">
        <v>216</v>
      </c>
      <c r="S36" s="244">
        <v>11.99</v>
      </c>
      <c r="T36" s="127" t="s">
        <v>371</v>
      </c>
      <c r="Y36" s="242"/>
      <c r="AK36" s="192"/>
    </row>
    <row r="37" spans="1:37" x14ac:dyDescent="0.2">
      <c r="F37" s="518"/>
      <c r="Q37" s="126" t="s">
        <v>217</v>
      </c>
      <c r="S37" s="244">
        <v>25</v>
      </c>
      <c r="T37" s="127" t="s">
        <v>371</v>
      </c>
      <c r="Y37" s="242"/>
      <c r="AK37" s="192"/>
    </row>
    <row r="38" spans="1:37" x14ac:dyDescent="0.2">
      <c r="A38" s="154" t="s">
        <v>198</v>
      </c>
      <c r="B38" s="154"/>
      <c r="C38" s="154"/>
      <c r="D38" s="154"/>
      <c r="E38" s="519" t="e">
        <f>SUM(E32:E35)</f>
        <v>#REF!</v>
      </c>
      <c r="F38" s="518"/>
      <c r="Q38" s="126"/>
      <c r="T38" s="127"/>
      <c r="X38" s="836"/>
      <c r="Y38" s="242"/>
    </row>
    <row r="39" spans="1:37" ht="13.5" thickBot="1" x14ac:dyDescent="0.25">
      <c r="F39" s="518"/>
      <c r="Q39" s="144" t="s">
        <v>137</v>
      </c>
      <c r="R39" s="183"/>
      <c r="S39" s="270">
        <v>2.7812E-2</v>
      </c>
      <c r="T39" s="185"/>
      <c r="Y39" s="833"/>
      <c r="AC39" s="838"/>
    </row>
    <row r="40" spans="1:37" x14ac:dyDescent="0.2">
      <c r="A40" s="120" t="s">
        <v>199</v>
      </c>
      <c r="C40" s="156" t="e">
        <f>#REF!</f>
        <v>#REF!</v>
      </c>
      <c r="E40" s="134" t="e">
        <f>C40*E38</f>
        <v>#REF!</v>
      </c>
      <c r="F40" s="518"/>
      <c r="K40" s="242"/>
      <c r="AD40" s="128"/>
      <c r="AE40" s="128"/>
      <c r="AF40" s="128"/>
      <c r="AG40" s="128"/>
      <c r="AH40" s="128"/>
      <c r="AI40" s="128"/>
      <c r="AJ40" s="128"/>
    </row>
    <row r="41" spans="1:37" x14ac:dyDescent="0.2">
      <c r="F41" s="518"/>
      <c r="U41" s="156"/>
      <c r="AD41" s="121"/>
      <c r="AE41" s="121"/>
      <c r="AF41" s="121"/>
      <c r="AG41" s="121"/>
      <c r="AH41" s="121"/>
      <c r="AI41" s="121"/>
      <c r="AJ41" s="121"/>
    </row>
    <row r="42" spans="1:37" ht="13.5" thickBot="1" x14ac:dyDescent="0.25">
      <c r="A42" s="543" t="s">
        <v>200</v>
      </c>
      <c r="B42" s="161"/>
      <c r="C42" s="161"/>
      <c r="D42" s="161"/>
      <c r="E42" s="523" t="e">
        <f>SUM(E38:E40)</f>
        <v>#REF!</v>
      </c>
      <c r="F42" s="518"/>
      <c r="I42" s="158"/>
      <c r="AD42" s="121"/>
      <c r="AE42" s="121"/>
      <c r="AF42" s="121"/>
      <c r="AG42" s="121"/>
      <c r="AH42" s="121"/>
      <c r="AI42" s="121"/>
      <c r="AJ42" s="121"/>
    </row>
    <row r="43" spans="1:37" ht="13.5" thickTop="1" x14ac:dyDescent="0.2">
      <c r="F43" s="518"/>
      <c r="I43" s="544"/>
      <c r="X43" s="830"/>
      <c r="AD43" s="121"/>
      <c r="AE43" s="121"/>
      <c r="AF43" s="121"/>
      <c r="AG43" s="121"/>
      <c r="AH43" s="121"/>
      <c r="AI43" s="121"/>
      <c r="AJ43" s="121"/>
    </row>
    <row r="44" spans="1:37" x14ac:dyDescent="0.2">
      <c r="A44" s="120" t="s">
        <v>118</v>
      </c>
      <c r="C44" s="156">
        <f>$S$39</f>
        <v>2.7812E-2</v>
      </c>
      <c r="E44" s="545" t="e">
        <f>E42*(1+C44)</f>
        <v>#REF!</v>
      </c>
      <c r="F44" s="518"/>
      <c r="I44" s="544"/>
      <c r="R44" s="197"/>
      <c r="X44" s="134"/>
      <c r="Y44" s="268"/>
    </row>
    <row r="45" spans="1:37" x14ac:dyDescent="0.2">
      <c r="F45" s="518"/>
      <c r="I45" s="544"/>
    </row>
    <row r="46" spans="1:37" x14ac:dyDescent="0.2">
      <c r="E46" s="240" t="s">
        <v>366</v>
      </c>
      <c r="F46" s="518"/>
      <c r="I46" s="158"/>
      <c r="X46" s="134"/>
      <c r="Y46" s="537"/>
      <c r="AK46" s="192"/>
    </row>
    <row r="47" spans="1:37" x14ac:dyDescent="0.2">
      <c r="A47" s="120" t="s">
        <v>278</v>
      </c>
      <c r="D47" s="202" t="e">
        <f>E42/E8</f>
        <v>#REF!</v>
      </c>
      <c r="E47" s="202" t="e">
        <f>D47*(1+C44)</f>
        <v>#REF!</v>
      </c>
      <c r="F47" s="518"/>
      <c r="X47" s="134"/>
      <c r="Y47" s="837"/>
      <c r="AK47" s="192"/>
    </row>
    <row r="48" spans="1:37" ht="13.5" thickBot="1" x14ac:dyDescent="0.25">
      <c r="A48" s="120" t="s">
        <v>367</v>
      </c>
      <c r="C48" s="156">
        <f>'[26]CAF Spring 2015'!$BC$24</f>
        <v>2.0354406130268236E-2</v>
      </c>
      <c r="D48" s="202"/>
      <c r="E48" s="202"/>
      <c r="F48" s="546" t="e">
        <f>E47*(1+C48)</f>
        <v>#REF!</v>
      </c>
      <c r="X48" s="134"/>
      <c r="Y48" s="837"/>
      <c r="AC48" s="838"/>
    </row>
    <row r="49" spans="1:37" x14ac:dyDescent="0.2">
      <c r="A49" s="547" t="s">
        <v>368</v>
      </c>
      <c r="B49" s="548">
        <v>0.9</v>
      </c>
      <c r="C49" s="549"/>
      <c r="D49" s="550" t="e">
        <f>E42/(E8*B49)</f>
        <v>#REF!</v>
      </c>
      <c r="E49" s="550" t="e">
        <f>D49*(1+C44)</f>
        <v>#REF!</v>
      </c>
      <c r="F49" s="551" t="e">
        <f>ROUND($F$48/B49,2)</f>
        <v>#REF!</v>
      </c>
      <c r="Q49" s="558"/>
      <c r="AD49" s="128"/>
      <c r="AE49" s="128"/>
      <c r="AF49" s="128"/>
      <c r="AG49" s="128"/>
      <c r="AH49" s="128"/>
      <c r="AI49" s="128"/>
      <c r="AJ49" s="128"/>
    </row>
    <row r="50" spans="1:37" x14ac:dyDescent="0.2">
      <c r="A50" s="552"/>
      <c r="B50" s="343"/>
      <c r="C50" s="534"/>
      <c r="D50" s="328"/>
      <c r="E50" s="328"/>
      <c r="F50" s="553"/>
      <c r="AD50" s="121"/>
      <c r="AE50" s="121"/>
      <c r="AF50" s="121"/>
      <c r="AG50" s="121"/>
      <c r="AH50" s="121"/>
      <c r="AI50" s="121"/>
      <c r="AJ50" s="121"/>
      <c r="AK50" s="537"/>
    </row>
    <row r="51" spans="1:37" x14ac:dyDescent="0.2">
      <c r="A51" s="552"/>
      <c r="B51" s="343">
        <v>0.85</v>
      </c>
      <c r="C51" s="534"/>
      <c r="D51" s="328" t="e">
        <f>E42/(E8*B51)</f>
        <v>#REF!</v>
      </c>
      <c r="E51" s="328" t="e">
        <f>D51*(1+C44)</f>
        <v>#REF!</v>
      </c>
      <c r="F51" s="553" t="e">
        <f t="shared" ref="F51:F55" si="1">ROUND($F$48/B51,2)</f>
        <v>#REF!</v>
      </c>
      <c r="AD51" s="121"/>
      <c r="AE51" s="121"/>
      <c r="AF51" s="121"/>
      <c r="AG51" s="121"/>
      <c r="AH51" s="121"/>
      <c r="AI51" s="121"/>
      <c r="AJ51" s="121"/>
    </row>
    <row r="52" spans="1:37" x14ac:dyDescent="0.2">
      <c r="A52" s="296"/>
      <c r="B52" s="297">
        <v>0.8</v>
      </c>
      <c r="C52" s="273"/>
      <c r="D52" s="298" t="e">
        <f>$E$42/($E$8*B52)</f>
        <v>#REF!</v>
      </c>
      <c r="E52" s="298" t="e">
        <f>D52*(1+$C$44)</f>
        <v>#REF!</v>
      </c>
      <c r="F52" s="554" t="e">
        <f t="shared" si="1"/>
        <v>#REF!</v>
      </c>
      <c r="AD52" s="121"/>
      <c r="AE52" s="121"/>
      <c r="AF52" s="121"/>
      <c r="AG52" s="121"/>
      <c r="AH52" s="121"/>
      <c r="AI52" s="121"/>
      <c r="AJ52" s="121"/>
    </row>
    <row r="53" spans="1:37" x14ac:dyDescent="0.2">
      <c r="B53" s="555">
        <v>0.75</v>
      </c>
      <c r="D53" s="328" t="e">
        <f t="shared" ref="D53:D55" si="2">$E$42/($E$8*B53)</f>
        <v>#REF!</v>
      </c>
      <c r="E53" s="328" t="e">
        <f t="shared" ref="E53:E55" si="3">D53*(1+$C$44)</f>
        <v>#REF!</v>
      </c>
      <c r="F53" s="553" t="e">
        <f t="shared" si="1"/>
        <v>#REF!</v>
      </c>
    </row>
    <row r="54" spans="1:37" x14ac:dyDescent="0.2">
      <c r="B54" s="555">
        <v>0.7</v>
      </c>
      <c r="D54" s="328" t="e">
        <f t="shared" si="2"/>
        <v>#REF!</v>
      </c>
      <c r="E54" s="328" t="e">
        <f t="shared" si="3"/>
        <v>#REF!</v>
      </c>
      <c r="F54" s="553" t="e">
        <f t="shared" si="1"/>
        <v>#REF!</v>
      </c>
      <c r="AK54" s="192"/>
    </row>
    <row r="55" spans="1:37" ht="13.5" thickBot="1" x14ac:dyDescent="0.25">
      <c r="B55" s="555">
        <v>0.65</v>
      </c>
      <c r="D55" s="328" t="e">
        <f t="shared" si="2"/>
        <v>#REF!</v>
      </c>
      <c r="E55" s="328" t="e">
        <f t="shared" si="3"/>
        <v>#REF!</v>
      </c>
      <c r="F55" s="557" t="e">
        <f t="shared" si="1"/>
        <v>#REF!</v>
      </c>
      <c r="AK55" s="192"/>
    </row>
    <row r="56" spans="1:37" x14ac:dyDescent="0.2">
      <c r="B56" s="555"/>
      <c r="F56" s="158"/>
      <c r="AK56" s="192"/>
    </row>
    <row r="57" spans="1:37" x14ac:dyDescent="0.2">
      <c r="E57" s="158"/>
      <c r="F57" s="158"/>
    </row>
    <row r="58" spans="1:37" x14ac:dyDescent="0.2">
      <c r="E58" s="158"/>
      <c r="F58" s="158"/>
      <c r="AC58" s="838"/>
    </row>
    <row r="59" spans="1:37" x14ac:dyDescent="0.2">
      <c r="L59" s="120" t="s">
        <v>370</v>
      </c>
      <c r="AD59" s="128"/>
      <c r="AE59" s="128"/>
      <c r="AF59" s="128"/>
      <c r="AG59" s="128"/>
      <c r="AH59" s="128"/>
      <c r="AI59" s="128"/>
      <c r="AJ59" s="128"/>
    </row>
    <row r="60" spans="1:37" ht="13.35" customHeight="1" x14ac:dyDescent="0.2">
      <c r="H60" s="121"/>
      <c r="L60" s="120" t="s">
        <v>372</v>
      </c>
      <c r="AD60" s="121"/>
      <c r="AE60" s="121"/>
      <c r="AF60" s="121"/>
      <c r="AG60" s="121"/>
      <c r="AH60" s="121"/>
      <c r="AI60" s="121"/>
      <c r="AJ60" s="121"/>
    </row>
    <row r="61" spans="1:37" x14ac:dyDescent="0.2">
      <c r="H61" s="121"/>
      <c r="AD61" s="121"/>
      <c r="AE61" s="121"/>
      <c r="AF61" s="121"/>
      <c r="AG61" s="121"/>
      <c r="AH61" s="121"/>
      <c r="AI61" s="121"/>
      <c r="AJ61" s="121"/>
    </row>
    <row r="62" spans="1:37" x14ac:dyDescent="0.2">
      <c r="H62" s="121"/>
      <c r="AD62" s="121"/>
      <c r="AE62" s="121"/>
      <c r="AF62" s="121"/>
      <c r="AG62" s="121"/>
      <c r="AH62" s="121"/>
      <c r="AI62" s="121"/>
      <c r="AJ62" s="121"/>
    </row>
    <row r="63" spans="1:37" x14ac:dyDescent="0.2">
      <c r="H63" s="121"/>
      <c r="K63" s="192"/>
    </row>
    <row r="64" spans="1:37" x14ac:dyDescent="0.2">
      <c r="Z64" s="537"/>
    </row>
    <row r="65" spans="8:26" x14ac:dyDescent="0.2">
      <c r="Z65" s="831"/>
    </row>
    <row r="66" spans="8:26" x14ac:dyDescent="0.2">
      <c r="Z66" s="831"/>
    </row>
    <row r="67" spans="8:26" x14ac:dyDescent="0.2">
      <c r="H67" s="121"/>
    </row>
    <row r="69" spans="8:26" x14ac:dyDescent="0.2">
      <c r="V69" s="121"/>
      <c r="W69" s="121"/>
    </row>
    <row r="70" spans="8:26" x14ac:dyDescent="0.2">
      <c r="U70" s="121"/>
      <c r="V70" s="121"/>
      <c r="W70" s="121"/>
      <c r="X70" s="121"/>
    </row>
    <row r="71" spans="8:26" x14ac:dyDescent="0.2">
      <c r="U71" s="121"/>
      <c r="V71" s="121"/>
      <c r="W71" s="121"/>
      <c r="X71" s="121"/>
      <c r="Y71" s="121"/>
    </row>
    <row r="72" spans="8:26" x14ac:dyDescent="0.2">
      <c r="U72" s="121"/>
      <c r="V72" s="121"/>
      <c r="W72" s="121"/>
      <c r="X72" s="121"/>
      <c r="Y72" s="121"/>
    </row>
    <row r="73" spans="8:26" x14ac:dyDescent="0.2">
      <c r="U73" s="121"/>
      <c r="X73" s="121"/>
      <c r="Y73" s="121"/>
    </row>
    <row r="74" spans="8:26" x14ac:dyDescent="0.2">
      <c r="Y74" s="121"/>
    </row>
    <row r="76" spans="8:26" x14ac:dyDescent="0.2">
      <c r="V76" s="121"/>
      <c r="W76" s="121"/>
    </row>
    <row r="77" spans="8:26" x14ac:dyDescent="0.2">
      <c r="U77" s="121"/>
      <c r="X77" s="121"/>
    </row>
    <row r="78" spans="8:26" x14ac:dyDescent="0.2">
      <c r="Y78" s="121"/>
    </row>
    <row r="88" spans="8:25" s="121" customFormat="1" x14ac:dyDescent="0.2">
      <c r="H88" s="120"/>
      <c r="I88" s="120"/>
      <c r="J88" s="120"/>
      <c r="K88" s="120"/>
      <c r="L88" s="536"/>
      <c r="M88" s="536"/>
      <c r="N88" s="516"/>
      <c r="O88" s="516"/>
      <c r="P88" s="536"/>
      <c r="Q88" s="120"/>
      <c r="R88" s="120"/>
      <c r="S88" s="120"/>
      <c r="T88" s="120"/>
      <c r="U88" s="120"/>
      <c r="V88" s="120"/>
      <c r="W88" s="120"/>
      <c r="X88" s="120"/>
      <c r="Y88" s="120"/>
    </row>
    <row r="89" spans="8:25" s="121" customFormat="1" x14ac:dyDescent="0.2">
      <c r="H89" s="120"/>
      <c r="I89" s="120"/>
      <c r="J89" s="120"/>
      <c r="K89" s="120"/>
      <c r="L89" s="536"/>
      <c r="M89" s="536"/>
      <c r="N89" s="516"/>
      <c r="O89" s="516"/>
      <c r="P89" s="536"/>
      <c r="Q89" s="120"/>
      <c r="R89" s="120"/>
      <c r="S89" s="120"/>
      <c r="T89" s="120"/>
      <c r="U89" s="120"/>
      <c r="V89" s="120"/>
      <c r="W89" s="120"/>
      <c r="X89" s="120"/>
      <c r="Y89" s="120"/>
    </row>
    <row r="90" spans="8:25" s="121" customFormat="1" x14ac:dyDescent="0.2">
      <c r="H90" s="120"/>
      <c r="I90" s="120"/>
      <c r="J90" s="120"/>
      <c r="K90" s="120"/>
      <c r="L90" s="536"/>
      <c r="M90" s="536"/>
      <c r="N90" s="516"/>
      <c r="O90" s="516"/>
      <c r="P90" s="536"/>
      <c r="Q90" s="120"/>
      <c r="R90" s="120"/>
      <c r="S90" s="120"/>
      <c r="T90" s="120"/>
      <c r="U90" s="120"/>
      <c r="V90" s="120"/>
      <c r="W90" s="120"/>
      <c r="X90" s="120"/>
      <c r="Y90" s="120"/>
    </row>
    <row r="91" spans="8:25" s="121" customFormat="1" x14ac:dyDescent="0.2">
      <c r="H91" s="120"/>
      <c r="I91" s="120"/>
      <c r="J91" s="120"/>
      <c r="K91" s="120"/>
      <c r="L91" s="536"/>
      <c r="M91" s="536"/>
      <c r="N91" s="516"/>
      <c r="O91" s="516"/>
      <c r="P91" s="536"/>
      <c r="Q91" s="120"/>
      <c r="R91" s="120"/>
      <c r="S91" s="120"/>
      <c r="T91" s="120"/>
      <c r="U91" s="120"/>
      <c r="V91" s="120"/>
      <c r="W91" s="120"/>
      <c r="X91" s="120"/>
      <c r="Y91" s="120"/>
    </row>
    <row r="95" spans="8:25" s="121" customFormat="1" x14ac:dyDescent="0.2">
      <c r="H95" s="120"/>
      <c r="I95" s="120"/>
      <c r="J95" s="120"/>
      <c r="K95" s="120"/>
      <c r="L95" s="536"/>
      <c r="M95" s="536"/>
      <c r="N95" s="516"/>
      <c r="O95" s="516"/>
      <c r="P95" s="536"/>
      <c r="Q95" s="120"/>
      <c r="R95" s="120"/>
      <c r="S95" s="120"/>
      <c r="T95" s="120"/>
      <c r="U95" s="120"/>
      <c r="V95" s="120"/>
      <c r="W95" s="120"/>
      <c r="X95" s="120"/>
      <c r="Y95" s="120"/>
    </row>
  </sheetData>
  <mergeCells count="11">
    <mergeCell ref="H1:K2"/>
    <mergeCell ref="L1:L2"/>
    <mergeCell ref="Q1:T1"/>
    <mergeCell ref="R3:S3"/>
    <mergeCell ref="A6:E7"/>
    <mergeCell ref="F6:F7"/>
    <mergeCell ref="Q13:T13"/>
    <mergeCell ref="J30:K30"/>
    <mergeCell ref="U14:V14"/>
    <mergeCell ref="X14:Y14"/>
    <mergeCell ref="X15:Y15"/>
  </mergeCells>
  <pageMargins left="0.25" right="0.25" top="0.75" bottom="0.75" header="0.3" footer="0.3"/>
  <pageSetup scale="44" fitToHeight="0" orientation="landscape" r:id="rId1"/>
  <headerFooter>
    <oddFooter>Prepared by kara &amp;D&amp;RPage &amp;P</oddFooter>
  </headerFooter>
  <colBreaks count="1" manualBreakCount="1">
    <brk id="7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A5DA-17A1-4D38-96F1-EB6FC45C3427}">
  <sheetPr>
    <pageSetUpPr fitToPage="1"/>
  </sheetPr>
  <dimension ref="A1:S56"/>
  <sheetViews>
    <sheetView topLeftCell="K1" zoomScale="120" zoomScaleNormal="120" workbookViewId="0">
      <selection activeCell="R31" sqref="R31:R33"/>
    </sheetView>
  </sheetViews>
  <sheetFormatPr defaultColWidth="9.140625" defaultRowHeight="12.75" x14ac:dyDescent="0.2"/>
  <cols>
    <col min="1" max="1" width="31.85546875" style="120" hidden="1" customWidth="1"/>
    <col min="2" max="2" width="5.5703125" style="120" hidden="1" customWidth="1"/>
    <col min="3" max="3" width="12.85546875" style="120" hidden="1" customWidth="1"/>
    <col min="4" max="4" width="10.85546875" style="120" hidden="1" customWidth="1"/>
    <col min="5" max="6" width="13.140625" style="120" hidden="1" customWidth="1"/>
    <col min="7" max="7" width="9.140625" style="120"/>
    <col min="8" max="8" width="31.85546875" style="120" customWidth="1"/>
    <col min="9" max="9" width="12.85546875" style="120" customWidth="1"/>
    <col min="10" max="10" width="10.85546875" style="120" customWidth="1"/>
    <col min="11" max="11" width="13.140625" style="120" customWidth="1"/>
    <col min="12" max="12" width="14.5703125" style="120" customWidth="1"/>
    <col min="13" max="13" width="7.140625" style="120" customWidth="1"/>
    <col min="14" max="14" width="9.140625" style="120"/>
    <col min="15" max="15" width="31.85546875" style="120" customWidth="1"/>
    <col min="16" max="16" width="10" style="120" customWidth="1"/>
    <col min="17" max="17" width="11.42578125" style="120" customWidth="1"/>
    <col min="18" max="18" width="26.140625" style="120" customWidth="1"/>
    <col min="19" max="16384" width="9.140625" style="120"/>
  </cols>
  <sheetData>
    <row r="1" spans="1:18" ht="13.5" thickBot="1" x14ac:dyDescent="0.25">
      <c r="H1" s="999" t="s">
        <v>373</v>
      </c>
      <c r="I1" s="1000"/>
      <c r="J1" s="1000"/>
      <c r="K1" s="1000"/>
      <c r="L1" s="1002" t="s">
        <v>332</v>
      </c>
      <c r="M1" s="559"/>
      <c r="O1" s="921" t="s">
        <v>374</v>
      </c>
      <c r="P1" s="921"/>
      <c r="Q1" s="921"/>
      <c r="R1" s="921"/>
    </row>
    <row r="2" spans="1:18" ht="13.5" thickBot="1" x14ac:dyDescent="0.25">
      <c r="H2" s="1001"/>
      <c r="I2" s="996"/>
      <c r="J2" s="996"/>
      <c r="K2" s="996"/>
      <c r="L2" s="1003"/>
      <c r="M2" s="559"/>
    </row>
    <row r="3" spans="1:18" x14ac:dyDescent="0.2">
      <c r="H3" s="122" t="s">
        <v>165</v>
      </c>
      <c r="I3" s="128">
        <v>12</v>
      </c>
      <c r="J3" s="200" t="s">
        <v>166</v>
      </c>
      <c r="K3" s="241">
        <f>I3*365</f>
        <v>4380</v>
      </c>
      <c r="L3" s="220"/>
      <c r="M3" s="241"/>
      <c r="O3" s="124" t="s">
        <v>167</v>
      </c>
      <c r="P3" s="922" t="s">
        <v>168</v>
      </c>
      <c r="Q3" s="922"/>
      <c r="R3" s="125"/>
    </row>
    <row r="4" spans="1:18" x14ac:dyDescent="0.2">
      <c r="H4" s="221"/>
      <c r="I4" s="222"/>
      <c r="J4" s="222" t="s">
        <v>169</v>
      </c>
      <c r="K4" s="222" t="s">
        <v>170</v>
      </c>
      <c r="L4" s="301"/>
      <c r="O4" s="122"/>
      <c r="P4" s="128" t="s">
        <v>156</v>
      </c>
      <c r="Q4" s="129" t="s">
        <v>157</v>
      </c>
      <c r="R4" s="130"/>
    </row>
    <row r="5" spans="1:18" ht="15" customHeight="1" x14ac:dyDescent="0.2">
      <c r="H5" s="250" t="s">
        <v>172</v>
      </c>
      <c r="I5" s="134"/>
      <c r="J5" s="223">
        <v>2</v>
      </c>
      <c r="K5" s="134">
        <v>145949</v>
      </c>
      <c r="L5" s="135"/>
      <c r="M5" s="128"/>
      <c r="O5" s="126" t="s">
        <v>171</v>
      </c>
      <c r="P5" s="121">
        <v>15</v>
      </c>
      <c r="Q5" s="121">
        <f>P5*8</f>
        <v>120</v>
      </c>
      <c r="R5" s="130"/>
    </row>
    <row r="6" spans="1:18" ht="14.45" customHeight="1" x14ac:dyDescent="0.2">
      <c r="A6" s="994" t="s">
        <v>375</v>
      </c>
      <c r="B6" s="995"/>
      <c r="C6" s="995"/>
      <c r="D6" s="995"/>
      <c r="E6" s="995"/>
      <c r="F6" s="997" t="s">
        <v>338</v>
      </c>
      <c r="H6" s="126" t="s">
        <v>339</v>
      </c>
      <c r="I6" s="134"/>
      <c r="J6" s="223">
        <v>9.75</v>
      </c>
      <c r="K6" s="134">
        <v>894559</v>
      </c>
      <c r="L6" s="135"/>
      <c r="M6" s="134"/>
      <c r="O6" s="126" t="s">
        <v>173</v>
      </c>
      <c r="P6" s="121">
        <v>10</v>
      </c>
      <c r="Q6" s="121">
        <f>P6*8</f>
        <v>80</v>
      </c>
      <c r="R6" s="130"/>
    </row>
    <row r="7" spans="1:18" ht="15" customHeight="1" thickBot="1" x14ac:dyDescent="0.25">
      <c r="A7" s="996"/>
      <c r="B7" s="996"/>
      <c r="C7" s="996"/>
      <c r="D7" s="996"/>
      <c r="E7" s="996"/>
      <c r="F7" s="998"/>
      <c r="H7" s="126" t="s">
        <v>340</v>
      </c>
      <c r="I7" s="134"/>
      <c r="J7" s="223">
        <f>32.46+4.77</f>
        <v>37.230000000000004</v>
      </c>
      <c r="K7" s="134">
        <f>1593484+240759</f>
        <v>1834243</v>
      </c>
      <c r="L7" s="135"/>
      <c r="M7" s="560"/>
      <c r="O7" s="126" t="s">
        <v>174</v>
      </c>
      <c r="P7" s="121">
        <v>11</v>
      </c>
      <c r="Q7" s="121">
        <f>P7*8</f>
        <v>88</v>
      </c>
      <c r="R7" s="136" t="s">
        <v>493</v>
      </c>
    </row>
    <row r="8" spans="1:18" x14ac:dyDescent="0.2">
      <c r="A8" s="200" t="s">
        <v>165</v>
      </c>
      <c r="B8" s="217">
        <f>Q$16</f>
        <v>12</v>
      </c>
      <c r="C8" s="200"/>
      <c r="D8" s="200" t="s">
        <v>166</v>
      </c>
      <c r="E8" s="241">
        <f>B8*365</f>
        <v>4380</v>
      </c>
      <c r="F8" s="561"/>
      <c r="H8" s="153" t="s">
        <v>187</v>
      </c>
      <c r="I8" s="154"/>
      <c r="J8" s="225">
        <f>SUM(J5:J7)</f>
        <v>48.980000000000004</v>
      </c>
      <c r="K8" s="519">
        <f>SUM(K5:K7)</f>
        <v>2874751</v>
      </c>
      <c r="L8" s="562"/>
      <c r="M8" s="134"/>
      <c r="O8" s="137" t="s">
        <v>176</v>
      </c>
      <c r="P8" s="138">
        <v>5</v>
      </c>
      <c r="Q8" s="138">
        <f>P8*8</f>
        <v>40</v>
      </c>
      <c r="R8" s="139"/>
    </row>
    <row r="9" spans="1:18" x14ac:dyDescent="0.2">
      <c r="F9" s="518"/>
      <c r="H9" s="126" t="s">
        <v>192</v>
      </c>
      <c r="I9" s="156">
        <f>'[25]M2021 BLS  SALARY CHART'!C38</f>
        <v>0.25390000000000001</v>
      </c>
      <c r="K9" s="134">
        <f>I9*K8</f>
        <v>729899.27890000003</v>
      </c>
      <c r="L9" s="135"/>
      <c r="M9" s="134"/>
      <c r="O9" s="126"/>
      <c r="P9" s="141" t="s">
        <v>161</v>
      </c>
      <c r="Q9" s="121">
        <f>SUM(Q5:Q8)</f>
        <v>328</v>
      </c>
      <c r="R9" s="142"/>
    </row>
    <row r="10" spans="1:18" ht="13.5" thickBot="1" x14ac:dyDescent="0.25">
      <c r="A10" s="131"/>
      <c r="B10" s="131"/>
      <c r="C10" s="222" t="s">
        <v>132</v>
      </c>
      <c r="D10" s="222" t="s">
        <v>169</v>
      </c>
      <c r="E10" s="222" t="s">
        <v>170</v>
      </c>
      <c r="F10" s="518"/>
      <c r="H10" s="126" t="s">
        <v>483</v>
      </c>
      <c r="I10" s="156">
        <f>I19</f>
        <v>2.7811565914169036E-2</v>
      </c>
      <c r="K10" s="134">
        <f>I10*(K8+K9)</f>
        <v>100250.96882915516</v>
      </c>
      <c r="L10" s="135"/>
      <c r="M10" s="134"/>
      <c r="O10" s="144"/>
      <c r="P10" s="145" t="s">
        <v>178</v>
      </c>
      <c r="Q10" s="280">
        <f>Q9/(52*40)</f>
        <v>0.15769230769230769</v>
      </c>
      <c r="R10" s="292"/>
    </row>
    <row r="11" spans="1:18" ht="13.5" thickBot="1" x14ac:dyDescent="0.25">
      <c r="A11" s="342" t="s">
        <v>172</v>
      </c>
      <c r="C11" s="134" t="e">
        <f>#REF!</f>
        <v>#REF!</v>
      </c>
      <c r="D11" s="223">
        <f>$Q$17</f>
        <v>2</v>
      </c>
      <c r="E11" s="134" t="e">
        <f>C11*D11</f>
        <v>#REF!</v>
      </c>
      <c r="F11" s="518"/>
      <c r="H11" s="153" t="s">
        <v>194</v>
      </c>
      <c r="I11" s="154"/>
      <c r="J11" s="157"/>
      <c r="K11" s="519">
        <f>SUM(K8:K10)</f>
        <v>3704901.2477291552</v>
      </c>
      <c r="L11" s="562"/>
      <c r="M11" s="134"/>
    </row>
    <row r="12" spans="1:18" x14ac:dyDescent="0.2">
      <c r="A12" s="200" t="s">
        <v>177</v>
      </c>
      <c r="C12" s="134"/>
      <c r="D12" s="223"/>
      <c r="E12" s="134"/>
      <c r="F12" s="518"/>
      <c r="H12" s="126"/>
      <c r="J12" s="563" t="s">
        <v>376</v>
      </c>
      <c r="K12" s="158"/>
      <c r="L12" s="127"/>
      <c r="M12" s="536"/>
      <c r="O12" s="209"/>
      <c r="P12" s="210"/>
      <c r="Q12" s="300"/>
      <c r="R12" s="520"/>
    </row>
    <row r="13" spans="1:18" x14ac:dyDescent="0.2">
      <c r="A13" s="120" t="s">
        <v>183</v>
      </c>
      <c r="C13" s="134" t="e">
        <f>#REF!</f>
        <v>#REF!</v>
      </c>
      <c r="D13" s="223">
        <f>$Q$19</f>
        <v>0.5</v>
      </c>
      <c r="E13" s="134" t="e">
        <f t="shared" ref="E13:E24" si="0">C13*D13</f>
        <v>#REF!</v>
      </c>
      <c r="F13" s="518"/>
      <c r="H13" s="126" t="str">
        <f>'[25]IRTP (draft) '!H15</f>
        <v>Wellness Expenses</v>
      </c>
      <c r="J13" s="158">
        <v>5.625</v>
      </c>
      <c r="K13" s="242">
        <f>J13*K3</f>
        <v>24637.5</v>
      </c>
      <c r="L13" s="127"/>
      <c r="M13" s="134"/>
      <c r="O13" s="126"/>
      <c r="Q13" s="134"/>
      <c r="R13" s="127"/>
    </row>
    <row r="14" spans="1:18" x14ac:dyDescent="0.2">
      <c r="A14" s="120" t="s">
        <v>184</v>
      </c>
      <c r="C14" s="134" t="e">
        <f>#REF!</f>
        <v>#REF!</v>
      </c>
      <c r="D14" s="223">
        <f>$Q$20</f>
        <v>2.75</v>
      </c>
      <c r="E14" s="134" t="e">
        <f t="shared" si="0"/>
        <v>#REF!</v>
      </c>
      <c r="F14" s="518"/>
      <c r="H14" s="126" t="str">
        <f>'[25]IRTP (draft) '!H16</f>
        <v>On Call expenses</v>
      </c>
      <c r="J14" s="214">
        <v>34.125</v>
      </c>
      <c r="K14" s="242">
        <f>J14*K3</f>
        <v>149467.5</v>
      </c>
      <c r="L14" s="127"/>
      <c r="M14" s="290"/>
      <c r="O14" s="126"/>
      <c r="Q14" s="538" t="s">
        <v>298</v>
      </c>
      <c r="R14" s="127"/>
    </row>
    <row r="15" spans="1:18" x14ac:dyDescent="0.2">
      <c r="A15" s="120" t="s">
        <v>186</v>
      </c>
      <c r="C15" s="134" t="e">
        <f>#REF!</f>
        <v>#REF!</v>
      </c>
      <c r="D15" s="223">
        <f>$Q$21</f>
        <v>1.5</v>
      </c>
      <c r="E15" s="134" t="e">
        <f t="shared" si="0"/>
        <v>#REF!</v>
      </c>
      <c r="F15" s="518"/>
      <c r="H15" s="126" t="s">
        <v>216</v>
      </c>
      <c r="J15" s="158">
        <f>$Q$36</f>
        <v>41.64</v>
      </c>
      <c r="K15" s="242">
        <f>J15*K3</f>
        <v>182383.2</v>
      </c>
      <c r="L15" s="229"/>
      <c r="M15" s="134"/>
      <c r="O15" s="126" t="s">
        <v>359</v>
      </c>
      <c r="P15" s="539"/>
      <c r="Q15" s="539"/>
      <c r="R15" s="540"/>
    </row>
    <row r="16" spans="1:18" x14ac:dyDescent="0.2">
      <c r="A16" s="120" t="s">
        <v>188</v>
      </c>
      <c r="C16" s="134" t="e">
        <f>#REF!</f>
        <v>#REF!</v>
      </c>
      <c r="D16" s="223">
        <f>$Q$22</f>
        <v>3</v>
      </c>
      <c r="E16" s="134" t="e">
        <f t="shared" si="0"/>
        <v>#REF!</v>
      </c>
      <c r="F16" s="518"/>
      <c r="H16" s="126" t="s">
        <v>217</v>
      </c>
      <c r="J16" s="158">
        <f>$Q$37</f>
        <v>23</v>
      </c>
      <c r="K16" s="242">
        <f>J16*K3</f>
        <v>100740</v>
      </c>
      <c r="L16" s="229"/>
      <c r="M16" s="246"/>
      <c r="O16" s="126" t="s">
        <v>361</v>
      </c>
      <c r="P16" s="138"/>
      <c r="Q16" s="138">
        <f>'[27]Rate Options'!$K$30</f>
        <v>12</v>
      </c>
      <c r="R16" s="307"/>
    </row>
    <row r="17" spans="1:18" x14ac:dyDescent="0.2">
      <c r="A17" s="120" t="s">
        <v>347</v>
      </c>
      <c r="C17" s="134" t="e">
        <f>#REF!</f>
        <v>#REF!</v>
      </c>
      <c r="D17" s="223">
        <f>$Q$23</f>
        <v>2</v>
      </c>
      <c r="E17" s="134" t="e">
        <f t="shared" si="0"/>
        <v>#REF!</v>
      </c>
      <c r="F17" s="518"/>
      <c r="H17" s="153" t="s">
        <v>198</v>
      </c>
      <c r="I17" s="154"/>
      <c r="J17" s="154"/>
      <c r="K17" s="519">
        <f>SUM(K11:K16)</f>
        <v>4162129.4477291554</v>
      </c>
      <c r="L17" s="562"/>
      <c r="M17" s="134"/>
      <c r="O17" s="122" t="s">
        <v>172</v>
      </c>
      <c r="P17" s="223"/>
      <c r="Q17" s="223">
        <f>'[27]Rate Options'!K32</f>
        <v>2</v>
      </c>
      <c r="R17" s="878" t="s">
        <v>282</v>
      </c>
    </row>
    <row r="18" spans="1:18" x14ac:dyDescent="0.2">
      <c r="A18" s="200" t="s">
        <v>121</v>
      </c>
      <c r="C18" s="134"/>
      <c r="D18" s="223"/>
      <c r="E18" s="134"/>
      <c r="F18" s="518"/>
      <c r="H18" s="126" t="s">
        <v>199</v>
      </c>
      <c r="I18" s="156">
        <f>'[25]M2021 BLS  SALARY CHART'!C41</f>
        <v>0.12</v>
      </c>
      <c r="K18" s="134">
        <f>I18*(K17-K10)</f>
        <v>487425.41746800003</v>
      </c>
      <c r="L18" s="135"/>
      <c r="M18" s="158"/>
      <c r="O18" s="122" t="s">
        <v>177</v>
      </c>
      <c r="P18" s="223"/>
      <c r="Q18" s="223"/>
      <c r="R18" s="303"/>
    </row>
    <row r="19" spans="1:18" x14ac:dyDescent="0.2">
      <c r="A19" s="120" t="s">
        <v>348</v>
      </c>
      <c r="C19" s="134" t="e">
        <f>#REF!</f>
        <v>#REF!</v>
      </c>
      <c r="D19" s="223">
        <f>$Q$25</f>
        <v>0.18</v>
      </c>
      <c r="E19" s="134" t="e">
        <f t="shared" si="0"/>
        <v>#REF!</v>
      </c>
      <c r="F19" s="518"/>
      <c r="H19" s="126" t="str">
        <f>O38</f>
        <v>CAF</v>
      </c>
      <c r="I19" s="156">
        <f>Q38</f>
        <v>2.7811565914169036E-2</v>
      </c>
      <c r="K19" s="134">
        <f>(K13+K14+K15+K16)*I19</f>
        <v>12716.232222116863</v>
      </c>
      <c r="L19" s="135"/>
      <c r="O19" s="126" t="s">
        <v>183</v>
      </c>
      <c r="P19" s="223"/>
      <c r="Q19" s="223">
        <v>0.5</v>
      </c>
      <c r="R19" s="878" t="s">
        <v>282</v>
      </c>
    </row>
    <row r="20" spans="1:18" ht="13.5" thickBot="1" x14ac:dyDescent="0.25">
      <c r="A20" s="120" t="s">
        <v>349</v>
      </c>
      <c r="C20" s="134" t="e">
        <f>#REF!</f>
        <v>#REF!</v>
      </c>
      <c r="D20" s="223">
        <f>$Q$26</f>
        <v>1</v>
      </c>
      <c r="E20" s="134" t="e">
        <f t="shared" si="0"/>
        <v>#REF!</v>
      </c>
      <c r="F20" s="518"/>
      <c r="H20" s="160" t="s">
        <v>200</v>
      </c>
      <c r="I20" s="161"/>
      <c r="J20" s="161"/>
      <c r="K20" s="523">
        <f>SUM(K17:K19)</f>
        <v>4662271.0974192722</v>
      </c>
      <c r="L20" s="562"/>
      <c r="O20" s="126" t="s">
        <v>346</v>
      </c>
      <c r="P20" s="223"/>
      <c r="Q20" s="223">
        <f>'[27]Rate Options'!K35</f>
        <v>2.75</v>
      </c>
      <c r="R20" s="878" t="s">
        <v>282</v>
      </c>
    </row>
    <row r="21" spans="1:18" ht="14.25" thickTop="1" thickBot="1" x14ac:dyDescent="0.25">
      <c r="A21" s="120" t="s">
        <v>202</v>
      </c>
      <c r="C21" s="134" t="e">
        <f>#REF!</f>
        <v>#REF!</v>
      </c>
      <c r="D21" s="223">
        <f>$Q$28</f>
        <v>24</v>
      </c>
      <c r="E21" s="134" t="e">
        <f t="shared" si="0"/>
        <v>#REF!</v>
      </c>
      <c r="F21" s="518"/>
      <c r="H21" s="126"/>
      <c r="I21" s="156"/>
      <c r="K21" s="239"/>
      <c r="L21" s="164"/>
      <c r="O21" s="126" t="s">
        <v>186</v>
      </c>
      <c r="P21" s="223"/>
      <c r="Q21" s="223">
        <v>1.5</v>
      </c>
      <c r="R21" s="878" t="s">
        <v>282</v>
      </c>
    </row>
    <row r="22" spans="1:18" ht="13.5" thickBot="1" x14ac:dyDescent="0.25">
      <c r="A22" s="323" t="s">
        <v>254</v>
      </c>
      <c r="C22" s="134" t="e">
        <f>#REF!</f>
        <v>#REF!</v>
      </c>
      <c r="D22" s="223">
        <f>$Q$29</f>
        <v>4.774923076923077</v>
      </c>
      <c r="E22" s="134" t="e">
        <f>C22*D22</f>
        <v>#REF!</v>
      </c>
      <c r="F22" s="518"/>
      <c r="H22" s="565" t="s">
        <v>350</v>
      </c>
      <c r="I22" s="318"/>
      <c r="J22" s="566"/>
      <c r="K22" s="567"/>
      <c r="L22" s="568">
        <f>K20/12</f>
        <v>388522.59145160601</v>
      </c>
      <c r="M22" s="564"/>
      <c r="O22" s="126" t="s">
        <v>188</v>
      </c>
      <c r="P22" s="223"/>
      <c r="Q22" s="223">
        <v>3</v>
      </c>
      <c r="R22" s="878" t="s">
        <v>282</v>
      </c>
    </row>
    <row r="23" spans="1:18" x14ac:dyDescent="0.2">
      <c r="A23" s="200" t="s">
        <v>351</v>
      </c>
      <c r="C23" s="134"/>
      <c r="D23" s="223"/>
      <c r="E23" s="134"/>
      <c r="F23" s="518"/>
      <c r="H23" s="533"/>
      <c r="I23" s="534"/>
      <c r="J23" s="328"/>
      <c r="K23" s="328"/>
      <c r="L23" s="328"/>
      <c r="M23" s="545"/>
      <c r="O23" s="126" t="s">
        <v>347</v>
      </c>
      <c r="P23" s="223"/>
      <c r="Q23" s="223">
        <v>2</v>
      </c>
      <c r="R23" s="878" t="s">
        <v>282</v>
      </c>
    </row>
    <row r="24" spans="1:18" x14ac:dyDescent="0.2">
      <c r="A24" s="120" t="s">
        <v>353</v>
      </c>
      <c r="C24" s="134" t="e">
        <f>#REF!</f>
        <v>#REF!</v>
      </c>
      <c r="D24" s="223">
        <f>$Q$31</f>
        <v>1.5</v>
      </c>
      <c r="E24" s="134" t="e">
        <f t="shared" si="0"/>
        <v>#REF!</v>
      </c>
      <c r="F24" s="518"/>
      <c r="J24" s="328"/>
      <c r="K24" s="328"/>
      <c r="L24" s="328"/>
      <c r="M24" s="328"/>
      <c r="O24" s="122" t="s">
        <v>121</v>
      </c>
      <c r="P24" s="223"/>
      <c r="Q24" s="223"/>
      <c r="R24" s="303"/>
    </row>
    <row r="25" spans="1:18" x14ac:dyDescent="0.2">
      <c r="A25" s="251" t="s">
        <v>377</v>
      </c>
      <c r="C25" s="134" t="e">
        <f>#REF!</f>
        <v>#REF!</v>
      </c>
      <c r="D25" s="223">
        <f>$Q$32</f>
        <v>2</v>
      </c>
      <c r="E25" s="134" t="e">
        <f>C25*D25</f>
        <v>#REF!</v>
      </c>
      <c r="F25" s="518"/>
      <c r="K25" s="158"/>
      <c r="L25" s="158"/>
      <c r="M25" s="569"/>
      <c r="O25" s="126" t="s">
        <v>348</v>
      </c>
      <c r="P25" s="223"/>
      <c r="Q25" s="223">
        <f>'[27]Rate Options'!K40</f>
        <v>0.18</v>
      </c>
      <c r="R25" s="878" t="s">
        <v>282</v>
      </c>
    </row>
    <row r="26" spans="1:18" x14ac:dyDescent="0.2">
      <c r="A26" s="570" t="s">
        <v>378</v>
      </c>
      <c r="C26" s="134" t="e">
        <f>#REF!</f>
        <v>#REF!</v>
      </c>
      <c r="D26" s="223">
        <f>$Q$33</f>
        <v>2.78</v>
      </c>
      <c r="E26" s="134" t="e">
        <f>C26*D26</f>
        <v>#REF!</v>
      </c>
      <c r="F26" s="518"/>
      <c r="K26" s="141"/>
      <c r="L26" s="158"/>
      <c r="M26" s="328"/>
      <c r="O26" s="126" t="s">
        <v>349</v>
      </c>
      <c r="P26" s="223"/>
      <c r="Q26" s="223">
        <f>'[27]Rate Options'!K41</f>
        <v>1</v>
      </c>
      <c r="R26" s="878" t="s">
        <v>282</v>
      </c>
    </row>
    <row r="27" spans="1:18" x14ac:dyDescent="0.2">
      <c r="A27" s="154" t="s">
        <v>187</v>
      </c>
      <c r="B27" s="154"/>
      <c r="C27" s="154"/>
      <c r="D27" s="225">
        <f>SUM(D11:D26)</f>
        <v>47.984923076923081</v>
      </c>
      <c r="E27" s="519" t="e">
        <f>SUM(E11:E26)</f>
        <v>#REF!</v>
      </c>
      <c r="F27" s="518"/>
      <c r="K27" s="242"/>
      <c r="L27" s="158"/>
      <c r="M27" s="158"/>
      <c r="O27" s="126" t="s">
        <v>352</v>
      </c>
      <c r="P27" s="223"/>
      <c r="Q27" s="223">
        <v>1</v>
      </c>
      <c r="R27" s="878" t="s">
        <v>282</v>
      </c>
    </row>
    <row r="28" spans="1:18" x14ac:dyDescent="0.2">
      <c r="F28" s="518"/>
      <c r="J28" s="982"/>
      <c r="K28" s="982"/>
      <c r="L28" s="242"/>
      <c r="M28" s="158"/>
      <c r="O28" s="126" t="s">
        <v>354</v>
      </c>
      <c r="P28" s="223"/>
      <c r="Q28" s="223">
        <v>24</v>
      </c>
      <c r="R28" s="878" t="s">
        <v>282</v>
      </c>
    </row>
    <row r="29" spans="1:18" ht="14.45" customHeight="1" x14ac:dyDescent="0.2">
      <c r="A29" s="200" t="s">
        <v>229</v>
      </c>
      <c r="D29" s="200" t="s">
        <v>189</v>
      </c>
      <c r="F29" s="518"/>
      <c r="K29" s="158"/>
      <c r="M29" s="158"/>
      <c r="O29" s="322" t="s">
        <v>254</v>
      </c>
      <c r="P29" s="223"/>
      <c r="Q29" s="223">
        <f>SUM(Q28+Q27+Q26+Q33+Q31)*Q10</f>
        <v>4.774923076923077</v>
      </c>
      <c r="R29" s="878" t="s">
        <v>282</v>
      </c>
    </row>
    <row r="30" spans="1:18" x14ac:dyDescent="0.2">
      <c r="A30" s="120" t="s">
        <v>192</v>
      </c>
      <c r="C30" s="156" t="e">
        <f>#REF!</f>
        <v>#REF!</v>
      </c>
      <c r="E30" s="134" t="e">
        <f>C30*E27</f>
        <v>#REF!</v>
      </c>
      <c r="F30" s="518"/>
      <c r="I30" s="158"/>
      <c r="M30" s="158"/>
      <c r="O30" s="122" t="s">
        <v>351</v>
      </c>
      <c r="P30" s="223"/>
      <c r="Q30" s="223"/>
      <c r="R30" s="303"/>
    </row>
    <row r="31" spans="1:18" x14ac:dyDescent="0.2">
      <c r="A31" s="154" t="s">
        <v>194</v>
      </c>
      <c r="B31" s="154"/>
      <c r="C31" s="154"/>
      <c r="D31" s="157" t="e">
        <f>E31/E8</f>
        <v>#REF!</v>
      </c>
      <c r="E31" s="519" t="e">
        <f>E30+E27</f>
        <v>#REF!</v>
      </c>
      <c r="F31" s="518"/>
      <c r="I31" s="571"/>
      <c r="O31" s="126" t="s">
        <v>353</v>
      </c>
      <c r="P31" s="223"/>
      <c r="Q31" s="223">
        <f>'[27]Rate Options'!K45</f>
        <v>1.5</v>
      </c>
      <c r="R31" s="878" t="s">
        <v>282</v>
      </c>
    </row>
    <row r="32" spans="1:18" x14ac:dyDescent="0.2">
      <c r="F32" s="518"/>
      <c r="O32" s="522" t="s">
        <v>377</v>
      </c>
      <c r="P32" s="223"/>
      <c r="Q32" s="223">
        <f>'[27]Rate Options'!K46</f>
        <v>2</v>
      </c>
      <c r="R32" s="878" t="s">
        <v>282</v>
      </c>
    </row>
    <row r="33" spans="1:18" x14ac:dyDescent="0.2">
      <c r="A33" s="120" t="s">
        <v>216</v>
      </c>
      <c r="D33" s="158">
        <f>$Q$36</f>
        <v>41.64</v>
      </c>
      <c r="E33" s="242">
        <f>D33*E8</f>
        <v>182383.2</v>
      </c>
      <c r="F33" s="518"/>
      <c r="O33" s="522" t="s">
        <v>378</v>
      </c>
      <c r="P33" s="223"/>
      <c r="Q33" s="223">
        <v>2.78</v>
      </c>
      <c r="R33" s="878" t="s">
        <v>282</v>
      </c>
    </row>
    <row r="34" spans="1:18" x14ac:dyDescent="0.2">
      <c r="A34" s="120" t="s">
        <v>217</v>
      </c>
      <c r="D34" s="158">
        <f>$Q$37</f>
        <v>23</v>
      </c>
      <c r="E34" s="242">
        <f>D34*E8</f>
        <v>100740</v>
      </c>
      <c r="F34" s="518"/>
      <c r="O34" s="126"/>
      <c r="R34" s="127"/>
    </row>
    <row r="35" spans="1:18" x14ac:dyDescent="0.2">
      <c r="D35" s="542">
        <f>SUM(D33:D34)</f>
        <v>64.64</v>
      </c>
      <c r="F35" s="518"/>
      <c r="O35" s="126"/>
      <c r="Q35" s="538" t="s">
        <v>206</v>
      </c>
      <c r="R35" s="127"/>
    </row>
    <row r="36" spans="1:18" x14ac:dyDescent="0.2">
      <c r="F36" s="518"/>
      <c r="O36" s="126" t="s">
        <v>216</v>
      </c>
      <c r="Q36" s="244">
        <v>41.64</v>
      </c>
      <c r="R36" s="168"/>
    </row>
    <row r="37" spans="1:18" x14ac:dyDescent="0.2">
      <c r="A37" s="154" t="s">
        <v>198</v>
      </c>
      <c r="B37" s="154"/>
      <c r="C37" s="154"/>
      <c r="D37" s="154"/>
      <c r="E37" s="519" t="e">
        <f>SUM(E31:E34)</f>
        <v>#REF!</v>
      </c>
      <c r="F37" s="518"/>
      <c r="O37" s="126" t="s">
        <v>217</v>
      </c>
      <c r="Q37" s="244">
        <v>23</v>
      </c>
      <c r="R37" s="127"/>
    </row>
    <row r="38" spans="1:18" ht="13.5" thickBot="1" x14ac:dyDescent="0.25">
      <c r="F38" s="518"/>
      <c r="O38" s="144" t="s">
        <v>137</v>
      </c>
      <c r="P38" s="183"/>
      <c r="Q38" s="270">
        <f>'[25]CAF Fall 2022'!CH23</f>
        <v>2.7811565914169036E-2</v>
      </c>
      <c r="R38" s="185"/>
    </row>
    <row r="39" spans="1:18" x14ac:dyDescent="0.2">
      <c r="A39" s="120" t="s">
        <v>199</v>
      </c>
      <c r="C39" s="156" t="e">
        <f>#REF!</f>
        <v>#REF!</v>
      </c>
      <c r="E39" s="134" t="e">
        <f>C39*E37</f>
        <v>#REF!</v>
      </c>
      <c r="F39" s="518"/>
    </row>
    <row r="40" spans="1:18" x14ac:dyDescent="0.2">
      <c r="F40" s="518"/>
      <c r="O40" s="558"/>
    </row>
    <row r="41" spans="1:18" ht="13.5" thickBot="1" x14ac:dyDescent="0.25">
      <c r="A41" s="543" t="s">
        <v>200</v>
      </c>
      <c r="B41" s="161"/>
      <c r="C41" s="161"/>
      <c r="D41" s="161"/>
      <c r="E41" s="523" t="e">
        <f>SUM(E37:E39)</f>
        <v>#REF!</v>
      </c>
      <c r="F41" s="518"/>
    </row>
    <row r="42" spans="1:18" ht="13.5" thickTop="1" x14ac:dyDescent="0.2">
      <c r="F42" s="518"/>
    </row>
    <row r="43" spans="1:18" x14ac:dyDescent="0.2">
      <c r="A43" s="120" t="s">
        <v>118</v>
      </c>
      <c r="C43" s="156"/>
      <c r="E43" s="572" t="e">
        <f>E41*(1+C43)</f>
        <v>#REF!</v>
      </c>
      <c r="F43" s="518"/>
    </row>
    <row r="44" spans="1:18" x14ac:dyDescent="0.2">
      <c r="F44" s="518"/>
    </row>
    <row r="45" spans="1:18" x14ac:dyDescent="0.2">
      <c r="E45" s="240" t="s">
        <v>366</v>
      </c>
      <c r="F45" s="518"/>
    </row>
    <row r="46" spans="1:18" x14ac:dyDescent="0.2">
      <c r="A46" s="120" t="s">
        <v>278</v>
      </c>
      <c r="D46" s="167" t="e">
        <f>E41/E8</f>
        <v>#REF!</v>
      </c>
      <c r="E46" s="167" t="e">
        <f>D46*(1+C43)</f>
        <v>#REF!</v>
      </c>
      <c r="F46" s="518"/>
    </row>
    <row r="47" spans="1:18" ht="13.5" thickBot="1" x14ac:dyDescent="0.25">
      <c r="A47" s="573" t="s">
        <v>367</v>
      </c>
      <c r="B47" s="573"/>
      <c r="C47" s="574"/>
      <c r="D47" s="575"/>
      <c r="E47" s="575"/>
      <c r="F47" s="576" t="e">
        <f>E46*(1+C47)</f>
        <v>#REF!</v>
      </c>
    </row>
    <row r="48" spans="1:18" ht="13.5" thickBot="1" x14ac:dyDescent="0.25">
      <c r="A48" s="547" t="s">
        <v>368</v>
      </c>
      <c r="B48" s="548">
        <v>0.9</v>
      </c>
      <c r="C48" s="549"/>
      <c r="D48" s="577" t="e">
        <f>E41/(E8*B48)</f>
        <v>#REF!</v>
      </c>
      <c r="E48" s="578" t="e">
        <f>D48*(1+C43)</f>
        <v>#REF!</v>
      </c>
      <c r="F48" s="579" t="e">
        <f>F47/B48</f>
        <v>#REF!</v>
      </c>
    </row>
    <row r="49" spans="1:19" x14ac:dyDescent="0.2">
      <c r="A49" s="552"/>
      <c r="B49" s="343">
        <v>0.85</v>
      </c>
      <c r="C49" s="534"/>
      <c r="D49" s="580" t="e">
        <f>E41/(E8*B49)</f>
        <v>#REF!</v>
      </c>
      <c r="E49" s="581" t="e">
        <f>D49*(1+C43)</f>
        <v>#REF!</v>
      </c>
      <c r="F49" s="576"/>
    </row>
    <row r="50" spans="1:19" x14ac:dyDescent="0.2">
      <c r="A50" s="296"/>
      <c r="B50" s="297">
        <v>0.8</v>
      </c>
      <c r="C50" s="273"/>
      <c r="D50" s="582" t="e">
        <f>E41/(E8*B50)</f>
        <v>#REF!</v>
      </c>
      <c r="E50" s="583" t="e">
        <f>D50*(1+C43)</f>
        <v>#REF!</v>
      </c>
      <c r="F50" s="584"/>
    </row>
    <row r="52" spans="1:19" x14ac:dyDescent="0.2">
      <c r="S52" s="120" t="s">
        <v>379</v>
      </c>
    </row>
    <row r="53" spans="1:19" x14ac:dyDescent="0.2">
      <c r="S53" s="120" t="s">
        <v>372</v>
      </c>
    </row>
    <row r="56" spans="1:19" x14ac:dyDescent="0.2">
      <c r="G56" s="158"/>
    </row>
  </sheetData>
  <mergeCells count="7">
    <mergeCell ref="O1:R1"/>
    <mergeCell ref="P3:Q3"/>
    <mergeCell ref="A6:E7"/>
    <mergeCell ref="F6:F7"/>
    <mergeCell ref="J28:K28"/>
    <mergeCell ref="H1:K2"/>
    <mergeCell ref="L1:L2"/>
  </mergeCells>
  <pageMargins left="0.7" right="0.7" top="0.75" bottom="0.75" header="0.3" footer="0.3"/>
  <pageSetup scale="83" orientation="landscape" r:id="rId1"/>
  <headerFooter>
    <oddFooter>&amp;R2016-04-12
&amp;A
Caring Together rate review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DCC7-CE02-496D-A905-D3DB28786AB2}">
  <sheetPr>
    <pageSetUpPr fitToPage="1"/>
  </sheetPr>
  <dimension ref="A1:J113"/>
  <sheetViews>
    <sheetView topLeftCell="A19" zoomScaleNormal="100" zoomScaleSheetLayoutView="90" workbookViewId="0">
      <selection activeCell="I9" sqref="I9"/>
    </sheetView>
  </sheetViews>
  <sheetFormatPr defaultColWidth="9.1406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32.140625" style="121" customWidth="1"/>
    <col min="6" max="6" width="33.85546875" style="120" customWidth="1"/>
    <col min="7" max="7" width="10.140625" style="120" customWidth="1"/>
    <col min="8" max="8" width="12.140625" style="120" customWidth="1"/>
    <col min="9" max="9" width="58" style="120" customWidth="1"/>
    <col min="10" max="10" width="56.140625" style="120" customWidth="1"/>
    <col min="11" max="11" width="25.85546875" style="120" customWidth="1"/>
    <col min="12" max="16384" width="9.140625" style="120"/>
  </cols>
  <sheetData>
    <row r="1" spans="1:10" ht="9" customHeight="1" thickBot="1" x14ac:dyDescent="0.25"/>
    <row r="2" spans="1:10" ht="13.5" thickBot="1" x14ac:dyDescent="0.25">
      <c r="A2" s="909" t="s">
        <v>162</v>
      </c>
      <c r="B2" s="910"/>
      <c r="C2" s="910"/>
      <c r="D2" s="911"/>
    </row>
    <row r="3" spans="1:10" ht="13.5" customHeight="1" thickBot="1" x14ac:dyDescent="0.25">
      <c r="A3" s="912" t="s">
        <v>163</v>
      </c>
      <c r="B3" s="913"/>
      <c r="C3" s="913"/>
      <c r="D3" s="914"/>
      <c r="F3" s="921" t="s">
        <v>164</v>
      </c>
      <c r="G3" s="921"/>
      <c r="H3" s="921"/>
      <c r="I3" s="921"/>
    </row>
    <row r="4" spans="1:10" ht="13.5" thickBot="1" x14ac:dyDescent="0.25">
      <c r="A4" s="918"/>
      <c r="B4" s="919"/>
      <c r="C4" s="919"/>
      <c r="D4" s="920"/>
    </row>
    <row r="5" spans="1:10" ht="13.5" thickBot="1" x14ac:dyDescent="0.25">
      <c r="A5" s="174" t="s">
        <v>165</v>
      </c>
      <c r="B5" s="206">
        <v>12</v>
      </c>
      <c r="C5" s="206" t="s">
        <v>166</v>
      </c>
      <c r="D5" s="207">
        <f>B5*365</f>
        <v>4380</v>
      </c>
      <c r="E5" s="123"/>
      <c r="F5" s="124" t="s">
        <v>167</v>
      </c>
      <c r="G5" s="922" t="s">
        <v>168</v>
      </c>
      <c r="H5" s="922"/>
      <c r="I5" s="125"/>
    </row>
    <row r="6" spans="1:10" ht="13.5" thickBot="1" x14ac:dyDescent="0.25">
      <c r="A6" s="174"/>
      <c r="B6" s="175"/>
      <c r="C6" s="175" t="s">
        <v>169</v>
      </c>
      <c r="D6" s="208" t="s">
        <v>170</v>
      </c>
      <c r="E6" s="123"/>
      <c r="F6" s="122"/>
      <c r="G6" s="128" t="s">
        <v>156</v>
      </c>
      <c r="H6" s="129" t="s">
        <v>157</v>
      </c>
      <c r="I6" s="130"/>
    </row>
    <row r="7" spans="1:10" ht="15" customHeight="1" x14ac:dyDescent="0.2">
      <c r="A7" s="209" t="s">
        <v>172</v>
      </c>
      <c r="B7" s="215"/>
      <c r="C7" s="276">
        <v>1.5</v>
      </c>
      <c r="D7" s="216">
        <v>103418.02</v>
      </c>
      <c r="F7" s="126" t="s">
        <v>171</v>
      </c>
      <c r="G7" s="121">
        <v>15</v>
      </c>
      <c r="H7" s="121">
        <f>G7*8</f>
        <v>120</v>
      </c>
      <c r="I7" s="130"/>
    </row>
    <row r="8" spans="1:10" ht="13.35" customHeight="1" x14ac:dyDescent="0.2">
      <c r="A8" s="169" t="s">
        <v>177</v>
      </c>
      <c r="B8" s="217"/>
      <c r="C8" s="121">
        <v>2.35</v>
      </c>
      <c r="D8" s="195">
        <v>214851.91</v>
      </c>
      <c r="F8" s="126" t="s">
        <v>173</v>
      </c>
      <c r="G8" s="121">
        <v>8</v>
      </c>
      <c r="H8" s="121">
        <f>G8*8</f>
        <v>64</v>
      </c>
      <c r="I8" s="130"/>
    </row>
    <row r="9" spans="1:10" ht="17.45" customHeight="1" x14ac:dyDescent="0.2">
      <c r="A9" s="169" t="s">
        <v>220</v>
      </c>
      <c r="B9" s="134"/>
      <c r="C9" s="218">
        <v>19.39</v>
      </c>
      <c r="D9" s="194">
        <v>810222.52</v>
      </c>
      <c r="F9" s="126" t="s">
        <v>174</v>
      </c>
      <c r="G9" s="121">
        <v>11</v>
      </c>
      <c r="H9" s="121">
        <f>G9*8</f>
        <v>88</v>
      </c>
      <c r="I9" s="136" t="s">
        <v>492</v>
      </c>
    </row>
    <row r="10" spans="1:10" x14ac:dyDescent="0.2">
      <c r="A10" s="153" t="s">
        <v>187</v>
      </c>
      <c r="B10" s="154"/>
      <c r="C10" s="193">
        <f>SUM(C7:C9)</f>
        <v>23.240000000000002</v>
      </c>
      <c r="D10" s="155">
        <f>SUM(D7:D9)</f>
        <v>1128492.45</v>
      </c>
      <c r="E10" s="189"/>
      <c r="F10" s="137" t="s">
        <v>176</v>
      </c>
      <c r="G10" s="138">
        <v>5</v>
      </c>
      <c r="H10" s="138">
        <f>G10*8</f>
        <v>40</v>
      </c>
      <c r="I10" s="139"/>
      <c r="J10" s="140"/>
    </row>
    <row r="11" spans="1:10" x14ac:dyDescent="0.2">
      <c r="A11" s="126" t="s">
        <v>192</v>
      </c>
      <c r="B11" s="156">
        <f>H41</f>
        <v>0.25390000000000001</v>
      </c>
      <c r="D11" s="135">
        <f>B11*D10</f>
        <v>286524.23305500002</v>
      </c>
      <c r="F11" s="126"/>
      <c r="G11" s="141" t="s">
        <v>161</v>
      </c>
      <c r="H11" s="121">
        <f>SUM(H7:H10)</f>
        <v>312</v>
      </c>
      <c r="I11" s="142"/>
    </row>
    <row r="12" spans="1:10" ht="13.5" thickBot="1" x14ac:dyDescent="0.25">
      <c r="A12" s="126" t="s">
        <v>482</v>
      </c>
      <c r="B12" s="156">
        <v>2.7811599999999999E-2</v>
      </c>
      <c r="D12" s="135">
        <f>(D10+D11)*B12</f>
        <v>39353.877982452432</v>
      </c>
      <c r="E12" s="143"/>
      <c r="F12" s="144"/>
      <c r="G12" s="145" t="s">
        <v>178</v>
      </c>
      <c r="H12" s="146">
        <f>H11/(52*40)</f>
        <v>0.15</v>
      </c>
      <c r="I12" s="147"/>
    </row>
    <row r="13" spans="1:10" x14ac:dyDescent="0.2">
      <c r="A13" s="153" t="s">
        <v>194</v>
      </c>
      <c r="B13" s="154"/>
      <c r="C13" s="157"/>
      <c r="D13" s="155">
        <f>SUM(D10:D12)</f>
        <v>1454370.5610374524</v>
      </c>
      <c r="E13" s="190"/>
      <c r="G13" s="141"/>
      <c r="H13" s="148"/>
      <c r="I13" s="149"/>
    </row>
    <row r="14" spans="1:10" x14ac:dyDescent="0.2">
      <c r="A14" s="126"/>
      <c r="C14" s="128" t="s">
        <v>189</v>
      </c>
      <c r="D14" s="132" t="s">
        <v>170</v>
      </c>
      <c r="E14" s="150"/>
      <c r="F14" s="151"/>
      <c r="G14" s="141"/>
      <c r="H14" s="148"/>
      <c r="I14" s="149"/>
    </row>
    <row r="15" spans="1:10" ht="13.5" customHeight="1" thickBot="1" x14ac:dyDescent="0.25">
      <c r="A15" s="126" t="str">
        <f>F43</f>
        <v>Occupancy</v>
      </c>
      <c r="C15" s="158">
        <f>H43</f>
        <v>30.57</v>
      </c>
      <c r="D15" s="159">
        <f>C15*D5</f>
        <v>133896.6</v>
      </c>
      <c r="E15" s="143"/>
    </row>
    <row r="16" spans="1:10" ht="14.25" customHeight="1" thickBot="1" x14ac:dyDescent="0.35">
      <c r="A16" s="126" t="str">
        <f>F44</f>
        <v>Programmatic expenses</v>
      </c>
      <c r="C16" s="158">
        <f>H44</f>
        <v>25</v>
      </c>
      <c r="D16" s="159">
        <f>C16*D5</f>
        <v>109500</v>
      </c>
      <c r="E16" s="150"/>
      <c r="F16" s="923" t="s">
        <v>179</v>
      </c>
      <c r="G16" s="924"/>
      <c r="H16" s="924"/>
      <c r="I16" s="925"/>
    </row>
    <row r="17" spans="1:10" x14ac:dyDescent="0.2">
      <c r="A17" s="126" t="s">
        <v>196</v>
      </c>
      <c r="C17" s="158">
        <f>H45</f>
        <v>1.25</v>
      </c>
      <c r="D17" s="159">
        <f>C17*D5</f>
        <v>5475</v>
      </c>
      <c r="E17" s="143"/>
      <c r="G17" s="815"/>
      <c r="H17" s="815"/>
      <c r="I17" s="814"/>
    </row>
    <row r="18" spans="1:10" x14ac:dyDescent="0.2">
      <c r="A18" s="153" t="s">
        <v>198</v>
      </c>
      <c r="B18" s="154"/>
      <c r="C18" s="154"/>
      <c r="D18" s="155">
        <f>SUM(D13:D17)</f>
        <v>1703242.1610374525</v>
      </c>
      <c r="E18" s="143"/>
      <c r="F18" s="122" t="s">
        <v>172</v>
      </c>
      <c r="G18" s="926" t="s">
        <v>226</v>
      </c>
      <c r="H18" s="926"/>
      <c r="I18" s="127"/>
    </row>
    <row r="19" spans="1:10" x14ac:dyDescent="0.2">
      <c r="A19" s="126" t="s">
        <v>199</v>
      </c>
      <c r="B19" s="156">
        <f>H47</f>
        <v>0.12</v>
      </c>
      <c r="D19" s="135">
        <f>(D18-D12)*B19</f>
        <v>199666.59396659999</v>
      </c>
      <c r="E19" s="143"/>
      <c r="F19" s="126" t="s">
        <v>180</v>
      </c>
      <c r="G19" s="192">
        <v>1</v>
      </c>
      <c r="H19" s="134"/>
      <c r="I19" s="127" t="s">
        <v>181</v>
      </c>
      <c r="J19" s="140"/>
    </row>
    <row r="20" spans="1:10" x14ac:dyDescent="0.2">
      <c r="A20" s="137" t="str">
        <f>A12</f>
        <v>CAF FY24</v>
      </c>
      <c r="B20" s="843">
        <v>2.7811599999999999E-2</v>
      </c>
      <c r="C20" s="273"/>
      <c r="D20" s="844">
        <f>(D15+D16+D17)*B20</f>
        <v>6921.5173905599995</v>
      </c>
      <c r="E20" s="191"/>
      <c r="F20" s="126" t="s">
        <v>175</v>
      </c>
      <c r="G20" s="192">
        <v>0.5</v>
      </c>
      <c r="H20" s="134"/>
      <c r="I20" s="127" t="s">
        <v>181</v>
      </c>
    </row>
    <row r="21" spans="1:10" ht="13.5" thickBot="1" x14ac:dyDescent="0.25">
      <c r="A21" s="160" t="s">
        <v>200</v>
      </c>
      <c r="B21" s="161"/>
      <c r="C21" s="161"/>
      <c r="D21" s="162">
        <f>SUM(D18:D20)</f>
        <v>1909830.2723946124</v>
      </c>
      <c r="E21" s="143"/>
      <c r="F21" s="122" t="s">
        <v>177</v>
      </c>
      <c r="G21" s="192"/>
      <c r="H21" s="134"/>
      <c r="I21" s="127"/>
      <c r="J21" s="140"/>
    </row>
    <row r="22" spans="1:10" ht="13.5" thickTop="1" x14ac:dyDescent="0.2">
      <c r="A22" s="126"/>
      <c r="D22" s="166" t="s">
        <v>201</v>
      </c>
      <c r="E22" s="150"/>
      <c r="F22" s="126" t="s">
        <v>183</v>
      </c>
      <c r="G22" s="192">
        <v>0.25</v>
      </c>
      <c r="H22" s="134"/>
      <c r="I22" s="127" t="s">
        <v>181</v>
      </c>
    </row>
    <row r="23" spans="1:10" ht="13.5" thickBot="1" x14ac:dyDescent="0.25">
      <c r="A23" s="126"/>
      <c r="B23" s="291" t="s">
        <v>225</v>
      </c>
      <c r="C23" s="214"/>
      <c r="D23" s="168">
        <f>D21/D5</f>
        <v>436.03430876589323</v>
      </c>
      <c r="E23" s="188"/>
      <c r="F23" s="126" t="s">
        <v>184</v>
      </c>
      <c r="G23" s="192">
        <v>0.25</v>
      </c>
      <c r="H23" s="134"/>
      <c r="I23" s="127" t="s">
        <v>181</v>
      </c>
    </row>
    <row r="24" spans="1:10" ht="13.5" thickBot="1" x14ac:dyDescent="0.25">
      <c r="A24" s="170" t="s">
        <v>224</v>
      </c>
      <c r="B24" s="219">
        <v>0.8</v>
      </c>
      <c r="C24" s="171"/>
      <c r="D24" s="172">
        <f>D23/B24</f>
        <v>545.04288595736648</v>
      </c>
      <c r="F24" s="152" t="s">
        <v>185</v>
      </c>
      <c r="G24" s="192">
        <v>0.5</v>
      </c>
      <c r="H24" s="134"/>
      <c r="I24" s="127" t="s">
        <v>181</v>
      </c>
    </row>
    <row r="25" spans="1:10" x14ac:dyDescent="0.2">
      <c r="A25" s="176"/>
      <c r="F25" s="126" t="s">
        <v>186</v>
      </c>
      <c r="G25" s="192">
        <v>0.6</v>
      </c>
      <c r="H25" s="134"/>
      <c r="I25" s="127" t="s">
        <v>181</v>
      </c>
    </row>
    <row r="26" spans="1:10" ht="13.5" thickBot="1" x14ac:dyDescent="0.25">
      <c r="E26" s="150"/>
      <c r="F26" s="126" t="s">
        <v>188</v>
      </c>
      <c r="G26" s="192"/>
      <c r="H26" s="134"/>
      <c r="I26" s="127"/>
    </row>
    <row r="27" spans="1:10" ht="13.5" thickBot="1" x14ac:dyDescent="0.25">
      <c r="A27" s="909" t="s">
        <v>212</v>
      </c>
      <c r="B27" s="910"/>
      <c r="C27" s="910"/>
      <c r="D27" s="911"/>
      <c r="E27" s="143"/>
      <c r="F27" s="152" t="s">
        <v>190</v>
      </c>
      <c r="G27" s="192">
        <v>0.25</v>
      </c>
      <c r="H27" s="134"/>
      <c r="I27" s="127" t="s">
        <v>191</v>
      </c>
    </row>
    <row r="28" spans="1:10" x14ac:dyDescent="0.2">
      <c r="A28" s="912" t="s">
        <v>163</v>
      </c>
      <c r="B28" s="913"/>
      <c r="C28" s="913"/>
      <c r="D28" s="914"/>
      <c r="E28" s="143"/>
      <c r="F28" s="152" t="s">
        <v>193</v>
      </c>
      <c r="G28" s="192">
        <v>0.5</v>
      </c>
      <c r="H28" s="134"/>
      <c r="I28" s="127" t="s">
        <v>181</v>
      </c>
    </row>
    <row r="29" spans="1:10" ht="13.5" thickBot="1" x14ac:dyDescent="0.25">
      <c r="A29" s="915"/>
      <c r="B29" s="916"/>
      <c r="C29" s="916"/>
      <c r="D29" s="917"/>
      <c r="F29" s="122" t="s">
        <v>236</v>
      </c>
      <c r="G29" s="192"/>
      <c r="H29" s="134"/>
      <c r="I29" s="127"/>
    </row>
    <row r="30" spans="1:10" ht="13.5" thickBot="1" x14ac:dyDescent="0.25">
      <c r="A30" s="174" t="s">
        <v>165</v>
      </c>
      <c r="B30" s="206">
        <v>12</v>
      </c>
      <c r="C30" s="206" t="s">
        <v>166</v>
      </c>
      <c r="D30" s="207">
        <f>B30*365</f>
        <v>4380</v>
      </c>
      <c r="F30" s="126" t="s">
        <v>219</v>
      </c>
      <c r="G30" s="192">
        <v>1</v>
      </c>
      <c r="H30" s="134"/>
      <c r="I30" s="127" t="s">
        <v>181</v>
      </c>
    </row>
    <row r="31" spans="1:10" ht="13.5" thickBot="1" x14ac:dyDescent="0.25">
      <c r="A31" s="174"/>
      <c r="B31" s="175"/>
      <c r="C31" s="175" t="s">
        <v>169</v>
      </c>
      <c r="D31" s="208" t="s">
        <v>170</v>
      </c>
      <c r="F31" s="126" t="s">
        <v>195</v>
      </c>
      <c r="G31" s="192">
        <v>1</v>
      </c>
      <c r="H31" s="134"/>
      <c r="I31" s="127" t="s">
        <v>222</v>
      </c>
    </row>
    <row r="32" spans="1:10" x14ac:dyDescent="0.2">
      <c r="A32" s="209" t="s">
        <v>172</v>
      </c>
      <c r="B32" s="210"/>
      <c r="C32" s="211">
        <f>C7</f>
        <v>1.5</v>
      </c>
      <c r="D32" s="212">
        <f>D7</f>
        <v>103418.02</v>
      </c>
      <c r="F32" s="152" t="s">
        <v>197</v>
      </c>
      <c r="G32" s="192">
        <v>7.4999999999999997E-2</v>
      </c>
      <c r="H32" s="134"/>
      <c r="I32" s="127" t="s">
        <v>181</v>
      </c>
    </row>
    <row r="33" spans="1:9" x14ac:dyDescent="0.2">
      <c r="A33" s="169" t="s">
        <v>177</v>
      </c>
      <c r="B33" s="197"/>
      <c r="C33" s="121">
        <v>2.25</v>
      </c>
      <c r="D33" s="213">
        <v>190136.91</v>
      </c>
      <c r="E33" s="191"/>
      <c r="F33" s="152" t="s">
        <v>182</v>
      </c>
      <c r="G33" s="192">
        <v>1</v>
      </c>
      <c r="H33" s="134"/>
      <c r="I33" s="127" t="s">
        <v>181</v>
      </c>
    </row>
    <row r="34" spans="1:9" x14ac:dyDescent="0.2">
      <c r="A34" s="169" t="s">
        <v>220</v>
      </c>
      <c r="B34" s="841"/>
      <c r="C34" s="138">
        <v>18.89</v>
      </c>
      <c r="D34" s="842">
        <v>779975</v>
      </c>
      <c r="E34" s="128"/>
      <c r="F34" s="169" t="s">
        <v>202</v>
      </c>
      <c r="G34" s="192">
        <v>12.6</v>
      </c>
      <c r="H34" s="134"/>
      <c r="I34" s="127" t="s">
        <v>181</v>
      </c>
    </row>
    <row r="35" spans="1:9" x14ac:dyDescent="0.2">
      <c r="A35" s="153" t="s">
        <v>187</v>
      </c>
      <c r="B35" s="131"/>
      <c r="C35" s="198">
        <f>SUM(C32:C34)</f>
        <v>22.64</v>
      </c>
      <c r="D35" s="199">
        <f>SUM(D32:D34)</f>
        <v>1073529.93</v>
      </c>
      <c r="F35" s="173" t="s">
        <v>203</v>
      </c>
      <c r="G35" s="192">
        <v>1</v>
      </c>
      <c r="H35" s="134"/>
      <c r="I35" s="127" t="s">
        <v>181</v>
      </c>
    </row>
    <row r="36" spans="1:9" x14ac:dyDescent="0.2">
      <c r="A36" s="126" t="s">
        <v>192</v>
      </c>
      <c r="B36" s="156">
        <f>H41</f>
        <v>0.25390000000000001</v>
      </c>
      <c r="D36" s="135">
        <f>B36*D35</f>
        <v>272569.24922699999</v>
      </c>
      <c r="F36" s="152" t="s">
        <v>204</v>
      </c>
      <c r="G36" s="192">
        <v>0.75</v>
      </c>
      <c r="H36" s="134"/>
      <c r="I36" s="127" t="s">
        <v>181</v>
      </c>
    </row>
    <row r="37" spans="1:9" x14ac:dyDescent="0.2">
      <c r="A37" s="126" t="str">
        <f>A12</f>
        <v>CAF FY24</v>
      </c>
      <c r="B37" s="156">
        <f>B12</f>
        <v>2.7811599999999999E-2</v>
      </c>
      <c r="D37" s="135">
        <f>(D35+D36)*B37</f>
        <v>37437.17193298963</v>
      </c>
      <c r="F37" s="152" t="s">
        <v>205</v>
      </c>
      <c r="G37" s="192">
        <v>7.4999999999999997E-2</v>
      </c>
      <c r="H37" s="134"/>
      <c r="I37" s="127" t="s">
        <v>181</v>
      </c>
    </row>
    <row r="38" spans="1:9" x14ac:dyDescent="0.2">
      <c r="A38" s="153" t="s">
        <v>194</v>
      </c>
      <c r="B38" s="154"/>
      <c r="C38" s="157"/>
      <c r="D38" s="155">
        <f>SUM(D35:D37)</f>
        <v>1383536.3511599896</v>
      </c>
      <c r="E38" s="163"/>
      <c r="F38" s="126" t="s">
        <v>461</v>
      </c>
      <c r="G38" s="192">
        <v>1.89</v>
      </c>
      <c r="H38" s="134"/>
      <c r="I38" s="127" t="s">
        <v>181</v>
      </c>
    </row>
    <row r="39" spans="1:9" x14ac:dyDescent="0.2">
      <c r="A39" s="126"/>
      <c r="C39" s="128" t="s">
        <v>189</v>
      </c>
      <c r="D39" s="132" t="s">
        <v>170</v>
      </c>
      <c r="E39" s="165"/>
      <c r="F39" s="126"/>
      <c r="H39" s="134"/>
      <c r="I39" s="127"/>
    </row>
    <row r="40" spans="1:9" x14ac:dyDescent="0.2">
      <c r="A40" s="126" t="s">
        <v>216</v>
      </c>
      <c r="C40" s="158">
        <f>C15</f>
        <v>30.57</v>
      </c>
      <c r="D40" s="159">
        <f>C40*D30</f>
        <v>133896.6</v>
      </c>
      <c r="F40" s="906" t="s">
        <v>206</v>
      </c>
      <c r="G40" s="907"/>
      <c r="H40" s="907"/>
      <c r="I40" s="908"/>
    </row>
    <row r="41" spans="1:9" x14ac:dyDescent="0.2">
      <c r="A41" s="126" t="s">
        <v>217</v>
      </c>
      <c r="C41" s="158">
        <f>C16</f>
        <v>25</v>
      </c>
      <c r="D41" s="159">
        <f>C41*D30</f>
        <v>109500</v>
      </c>
      <c r="F41" s="126" t="s">
        <v>192</v>
      </c>
      <c r="H41" s="178">
        <v>0.25390000000000001</v>
      </c>
      <c r="I41" s="127" t="s">
        <v>207</v>
      </c>
    </row>
    <row r="42" spans="1:9" x14ac:dyDescent="0.2">
      <c r="A42" s="126" t="str">
        <f>A17</f>
        <v>Additional Training expenses</v>
      </c>
      <c r="C42" s="158">
        <f>C17</f>
        <v>1.25</v>
      </c>
      <c r="D42" s="159">
        <f>C42*D30</f>
        <v>5475</v>
      </c>
      <c r="E42" s="188"/>
      <c r="F42" s="126"/>
      <c r="H42" s="156"/>
      <c r="I42" s="127"/>
    </row>
    <row r="43" spans="1:9" x14ac:dyDescent="0.2">
      <c r="A43" s="153" t="s">
        <v>198</v>
      </c>
      <c r="B43" s="154"/>
      <c r="C43" s="154"/>
      <c r="D43" s="155">
        <f>SUM(D38:D42)</f>
        <v>1632407.9511599897</v>
      </c>
      <c r="F43" s="126" t="str">
        <f>'[21]Master Data'!C37</f>
        <v>Occupancy</v>
      </c>
      <c r="H43" s="167">
        <v>30.57</v>
      </c>
      <c r="I43" s="127" t="s">
        <v>208</v>
      </c>
    </row>
    <row r="44" spans="1:9" x14ac:dyDescent="0.2">
      <c r="A44" s="126" t="s">
        <v>199</v>
      </c>
      <c r="B44" s="156">
        <f>H47</f>
        <v>0.12</v>
      </c>
      <c r="D44" s="135">
        <f>B44*(D43-D37)</f>
        <v>191396.49350724</v>
      </c>
      <c r="F44" s="126" t="str">
        <f>'[21]Master Data'!C38</f>
        <v>Programmatic expenses</v>
      </c>
      <c r="H44" s="167">
        <v>25</v>
      </c>
      <c r="I44" s="127" t="s">
        <v>209</v>
      </c>
    </row>
    <row r="45" spans="1:9" x14ac:dyDescent="0.2">
      <c r="A45" s="137" t="str">
        <f>A20</f>
        <v>CAF FY24</v>
      </c>
      <c r="B45" s="843">
        <f>B20</f>
        <v>2.7811599999999999E-2</v>
      </c>
      <c r="C45" s="273"/>
      <c r="D45" s="844">
        <f>(D40+D41+D42)*B45</f>
        <v>6921.5173905599995</v>
      </c>
      <c r="F45" s="126" t="s">
        <v>210</v>
      </c>
      <c r="H45" s="202">
        <v>1.25</v>
      </c>
      <c r="I45" s="127" t="s">
        <v>211</v>
      </c>
    </row>
    <row r="46" spans="1:9" ht="13.5" thickBot="1" x14ac:dyDescent="0.25">
      <c r="A46" s="160" t="s">
        <v>200</v>
      </c>
      <c r="B46" s="161"/>
      <c r="C46" s="161"/>
      <c r="D46" s="162">
        <f>SUM(D43:D45)</f>
        <v>1830725.9620577896</v>
      </c>
      <c r="F46" s="179" t="s">
        <v>198</v>
      </c>
      <c r="G46" s="180"/>
      <c r="H46" s="181">
        <f>SUM(H43:H44)</f>
        <v>55.57</v>
      </c>
      <c r="I46" s="182"/>
    </row>
    <row r="47" spans="1:9" ht="13.5" thickTop="1" x14ac:dyDescent="0.2">
      <c r="A47" s="126"/>
      <c r="B47" s="156"/>
      <c r="D47" s="164"/>
      <c r="E47" s="188"/>
      <c r="F47" s="126" t="s">
        <v>199</v>
      </c>
      <c r="H47" s="178">
        <f>'[21]Master Data'!E42</f>
        <v>0.12</v>
      </c>
      <c r="I47" s="127" t="s">
        <v>213</v>
      </c>
    </row>
    <row r="48" spans="1:9" ht="13.5" thickBot="1" x14ac:dyDescent="0.25">
      <c r="A48" s="126"/>
      <c r="D48" s="166" t="s">
        <v>201</v>
      </c>
      <c r="E48" s="163"/>
      <c r="F48" s="144" t="s">
        <v>214</v>
      </c>
      <c r="G48" s="183"/>
      <c r="H48" s="184">
        <f>'[21]Master Data'!E44</f>
        <v>2.7811565914169036E-2</v>
      </c>
      <c r="I48" s="185" t="s">
        <v>215</v>
      </c>
    </row>
    <row r="49" spans="1:4" ht="13.5" thickBot="1" x14ac:dyDescent="0.25">
      <c r="A49" s="126"/>
      <c r="B49" s="291" t="s">
        <v>225</v>
      </c>
      <c r="C49" s="214"/>
      <c r="D49" s="168">
        <f>D46/D30</f>
        <v>417.97396394013458</v>
      </c>
    </row>
    <row r="50" spans="1:4" ht="13.5" thickBot="1" x14ac:dyDescent="0.25">
      <c r="A50" s="170" t="s">
        <v>223</v>
      </c>
      <c r="B50" s="196">
        <v>0.8</v>
      </c>
      <c r="C50" s="171"/>
      <c r="D50" s="177">
        <f>D49/B50</f>
        <v>522.46745492516823</v>
      </c>
    </row>
    <row r="51" spans="1:4" x14ac:dyDescent="0.2">
      <c r="A51" s="200"/>
      <c r="B51" s="201"/>
      <c r="C51" s="202"/>
    </row>
    <row r="52" spans="1:4" ht="12.75" customHeight="1" x14ac:dyDescent="0.2">
      <c r="A52" s="176" t="s">
        <v>221</v>
      </c>
    </row>
    <row r="53" spans="1:4" x14ac:dyDescent="0.2">
      <c r="A53" s="176"/>
    </row>
    <row r="54" spans="1:4" x14ac:dyDescent="0.2">
      <c r="D54" s="203"/>
    </row>
    <row r="71" spans="6:6" ht="13.35" customHeight="1" x14ac:dyDescent="0.2"/>
    <row r="72" spans="6:6" ht="15" customHeight="1" x14ac:dyDescent="0.2"/>
    <row r="74" spans="6:6" x14ac:dyDescent="0.2">
      <c r="F74" s="204"/>
    </row>
    <row r="76" spans="6:6" x14ac:dyDescent="0.2">
      <c r="F76" s="205"/>
    </row>
    <row r="77" spans="6:6" ht="12.75" customHeight="1" x14ac:dyDescent="0.2"/>
    <row r="90" spans="6:6" x14ac:dyDescent="0.2">
      <c r="F90" s="186"/>
    </row>
    <row r="91" spans="6:6" x14ac:dyDescent="0.2">
      <c r="F91" s="186"/>
    </row>
    <row r="99" spans="5:5" x14ac:dyDescent="0.2">
      <c r="E99" s="163"/>
    </row>
    <row r="100" spans="5:5" x14ac:dyDescent="0.2">
      <c r="E100" s="163"/>
    </row>
    <row r="107" spans="5:5" ht="13.35" customHeight="1" x14ac:dyDescent="0.2"/>
    <row r="108" spans="5:5" ht="15" customHeight="1" x14ac:dyDescent="0.2"/>
    <row r="113" ht="12.75" customHeight="1" x14ac:dyDescent="0.2"/>
  </sheetData>
  <mergeCells count="9">
    <mergeCell ref="F40:I40"/>
    <mergeCell ref="A27:D27"/>
    <mergeCell ref="A28:D29"/>
    <mergeCell ref="A2:D2"/>
    <mergeCell ref="A3:D4"/>
    <mergeCell ref="F3:I3"/>
    <mergeCell ref="G5:H5"/>
    <mergeCell ref="F16:I16"/>
    <mergeCell ref="G18:H18"/>
  </mergeCells>
  <pageMargins left="0.7" right="0.7" top="0.75" bottom="0.75" header="0.3" footer="0.3"/>
  <pageSetup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C975-6221-47DE-8C4E-7F0A32D8FFC3}">
  <sheetPr>
    <pageSetUpPr fitToPage="1"/>
  </sheetPr>
  <dimension ref="B1:O71"/>
  <sheetViews>
    <sheetView topLeftCell="C1" zoomScaleNormal="100" workbookViewId="0">
      <selection activeCell="E35" sqref="E35"/>
    </sheetView>
  </sheetViews>
  <sheetFormatPr defaultRowHeight="15" x14ac:dyDescent="0.25"/>
  <cols>
    <col min="1" max="1" width="2.5703125" customWidth="1"/>
    <col min="2" max="2" width="36.42578125" customWidth="1"/>
    <col min="3" max="3" width="12.85546875" customWidth="1"/>
    <col min="4" max="4" width="14.140625" customWidth="1"/>
    <col min="5" max="5" width="18.85546875" customWidth="1"/>
    <col min="6" max="7" width="1.42578125" customWidth="1"/>
    <col min="8" max="8" width="32" style="586" bestFit="1" customWidth="1"/>
    <col min="9" max="9" width="16" style="586" customWidth="1"/>
    <col min="10" max="10" width="34.7109375" style="587" customWidth="1"/>
    <col min="14" max="14" width="11.5703125" bestFit="1" customWidth="1"/>
  </cols>
  <sheetData>
    <row r="1" spans="2:10" ht="15.75" thickBot="1" x14ac:dyDescent="0.3">
      <c r="B1" s="585"/>
    </row>
    <row r="2" spans="2:10" x14ac:dyDescent="0.25">
      <c r="B2" s="588"/>
      <c r="C2" s="589"/>
      <c r="D2" s="589"/>
      <c r="E2" s="590"/>
      <c r="H2" s="1006" t="s">
        <v>380</v>
      </c>
      <c r="I2" s="1007"/>
      <c r="J2" s="591"/>
    </row>
    <row r="3" spans="2:10" ht="15.75" thickBot="1" x14ac:dyDescent="0.3">
      <c r="B3" s="1008" t="s">
        <v>381</v>
      </c>
      <c r="C3" s="1009"/>
      <c r="D3" s="1009"/>
      <c r="E3" s="1010"/>
      <c r="H3" s="592"/>
      <c r="I3" s="881" t="s">
        <v>226</v>
      </c>
      <c r="J3" s="593"/>
    </row>
    <row r="4" spans="2:10" x14ac:dyDescent="0.25">
      <c r="B4" s="122" t="s">
        <v>382</v>
      </c>
      <c r="C4" s="128">
        <v>12</v>
      </c>
      <c r="D4" s="200" t="s">
        <v>383</v>
      </c>
      <c r="E4" s="220">
        <f>12*365</f>
        <v>4380</v>
      </c>
      <c r="H4" s="122" t="s">
        <v>172</v>
      </c>
      <c r="I4" s="134"/>
      <c r="J4" s="593"/>
    </row>
    <row r="5" spans="2:10" ht="15.75" thickBot="1" x14ac:dyDescent="0.3">
      <c r="B5" s="122" t="s">
        <v>384</v>
      </c>
      <c r="C5" s="128">
        <v>12</v>
      </c>
      <c r="D5" s="200"/>
      <c r="E5" s="220"/>
      <c r="H5" s="126" t="s">
        <v>385</v>
      </c>
      <c r="I5" s="277">
        <v>0.5</v>
      </c>
      <c r="J5" s="594" t="s">
        <v>386</v>
      </c>
    </row>
    <row r="6" spans="2:10" ht="15.75" thickBot="1" x14ac:dyDescent="0.3">
      <c r="B6" s="174"/>
      <c r="C6" s="175"/>
      <c r="D6" s="175" t="s">
        <v>169</v>
      </c>
      <c r="E6" s="208" t="s">
        <v>170</v>
      </c>
      <c r="H6" s="595"/>
      <c r="J6" s="593"/>
    </row>
    <row r="7" spans="2:10" x14ac:dyDescent="0.25">
      <c r="B7" s="126" t="s">
        <v>172</v>
      </c>
      <c r="D7" s="277">
        <v>0.5</v>
      </c>
      <c r="E7" s="135">
        <v>36487</v>
      </c>
      <c r="H7" s="122" t="s">
        <v>177</v>
      </c>
      <c r="I7" s="134"/>
      <c r="J7" s="593"/>
    </row>
    <row r="8" spans="2:10" x14ac:dyDescent="0.25">
      <c r="B8" s="126" t="s">
        <v>177</v>
      </c>
      <c r="D8" s="218">
        <v>2.9</v>
      </c>
      <c r="E8" s="135">
        <v>189189</v>
      </c>
      <c r="H8" s="126" t="s">
        <v>387</v>
      </c>
      <c r="I8" s="277">
        <v>0.5</v>
      </c>
      <c r="J8" s="594" t="s">
        <v>386</v>
      </c>
    </row>
    <row r="9" spans="2:10" ht="15.75" thickBot="1" x14ac:dyDescent="0.3">
      <c r="B9" s="137" t="s">
        <v>220</v>
      </c>
      <c r="C9" s="614"/>
      <c r="D9" s="278">
        <v>3.25</v>
      </c>
      <c r="E9" s="275">
        <v>139346</v>
      </c>
      <c r="H9" s="126" t="s">
        <v>388</v>
      </c>
      <c r="I9" s="277">
        <v>2.4</v>
      </c>
      <c r="J9" s="594" t="s">
        <v>386</v>
      </c>
    </row>
    <row r="10" spans="2:10" ht="15.75" thickBot="1" x14ac:dyDescent="0.3">
      <c r="B10" s="174" t="s">
        <v>187</v>
      </c>
      <c r="C10" s="206"/>
      <c r="D10" s="615">
        <f>SUM(D7:D9)</f>
        <v>6.65</v>
      </c>
      <c r="E10" s="596">
        <f>SUM(E7:E9)</f>
        <v>365022</v>
      </c>
      <c r="H10" s="122" t="s">
        <v>121</v>
      </c>
      <c r="J10" s="593"/>
    </row>
    <row r="11" spans="2:10" x14ac:dyDescent="0.25">
      <c r="B11" s="122" t="s">
        <v>229</v>
      </c>
      <c r="C11" s="120"/>
      <c r="D11" s="200"/>
      <c r="E11" s="127"/>
      <c r="H11" s="126" t="s">
        <v>389</v>
      </c>
      <c r="I11" s="277">
        <v>1</v>
      </c>
      <c r="J11" s="594" t="s">
        <v>386</v>
      </c>
    </row>
    <row r="12" spans="2:10" x14ac:dyDescent="0.25">
      <c r="B12" s="126" t="s">
        <v>192</v>
      </c>
      <c r="C12" s="156">
        <f>I19</f>
        <v>0.25390000000000001</v>
      </c>
      <c r="D12" s="120"/>
      <c r="E12" s="135">
        <f>E10*C12</f>
        <v>92679.085800000001</v>
      </c>
      <c r="H12" s="126" t="s">
        <v>390</v>
      </c>
      <c r="I12" s="277">
        <v>1</v>
      </c>
      <c r="J12" s="594" t="s">
        <v>386</v>
      </c>
    </row>
    <row r="13" spans="2:10" x14ac:dyDescent="0.25">
      <c r="B13" s="126" t="s">
        <v>483</v>
      </c>
      <c r="C13" s="156">
        <f>C21</f>
        <v>2.7811565914169036E-2</v>
      </c>
      <c r="D13" s="120"/>
      <c r="E13" s="135">
        <f>(E10+E12)*C13</f>
        <v>12729.383916713437</v>
      </c>
      <c r="H13" s="126" t="s">
        <v>391</v>
      </c>
      <c r="I13" s="277">
        <v>0.5</v>
      </c>
      <c r="J13" s="594" t="s">
        <v>386</v>
      </c>
    </row>
    <row r="14" spans="2:10" x14ac:dyDescent="0.25">
      <c r="B14" s="153" t="s">
        <v>194</v>
      </c>
      <c r="C14" s="154"/>
      <c r="D14" s="157"/>
      <c r="E14" s="155">
        <f>SUM(E10:E13)</f>
        <v>470430.46971671341</v>
      </c>
      <c r="H14" s="126" t="s">
        <v>349</v>
      </c>
      <c r="I14" s="277">
        <v>0.5</v>
      </c>
      <c r="J14" s="594" t="s">
        <v>386</v>
      </c>
    </row>
    <row r="15" spans="2:10" x14ac:dyDescent="0.25">
      <c r="B15" s="597" t="s">
        <v>393</v>
      </c>
      <c r="C15" s="120"/>
      <c r="D15" s="598">
        <f>I21</f>
        <v>180.83</v>
      </c>
      <c r="E15" s="159">
        <f>D15*4*52</f>
        <v>37612.639999999999</v>
      </c>
      <c r="H15" s="126" t="s">
        <v>392</v>
      </c>
      <c r="I15" s="277">
        <v>0.25</v>
      </c>
      <c r="J15" s="594" t="s">
        <v>386</v>
      </c>
    </row>
    <row r="16" spans="2:10" x14ac:dyDescent="0.25">
      <c r="B16" s="597" t="s">
        <v>394</v>
      </c>
      <c r="C16" s="120"/>
      <c r="D16" s="598">
        <f>'[28]3073 Intensive Therapeutic FY24'!P18</f>
        <v>54.786626019606146</v>
      </c>
      <c r="E16" s="159">
        <f>D16*20*52</f>
        <v>56978.091060390398</v>
      </c>
      <c r="H16" s="126"/>
      <c r="I16" s="120"/>
      <c r="J16" s="593"/>
    </row>
    <row r="17" spans="2:10" x14ac:dyDescent="0.25">
      <c r="B17" s="126" t="s">
        <v>216</v>
      </c>
      <c r="C17" s="120"/>
      <c r="D17" s="158">
        <f>I23</f>
        <v>25.67</v>
      </c>
      <c r="E17" s="159">
        <f>D17*D10*150</f>
        <v>25605.825000000004</v>
      </c>
      <c r="H17" s="592"/>
      <c r="I17" s="537"/>
      <c r="J17" s="593"/>
    </row>
    <row r="18" spans="2:10" x14ac:dyDescent="0.25">
      <c r="B18" s="126" t="s">
        <v>217</v>
      </c>
      <c r="C18" s="120"/>
      <c r="D18" s="242">
        <f>$I$24</f>
        <v>1873</v>
      </c>
      <c r="E18" s="159">
        <f>D18*C4</f>
        <v>22476</v>
      </c>
      <c r="H18" s="1004" t="s">
        <v>397</v>
      </c>
      <c r="I18" s="1005"/>
      <c r="J18" s="593"/>
    </row>
    <row r="19" spans="2:10" x14ac:dyDescent="0.25">
      <c r="B19" s="126" t="s">
        <v>395</v>
      </c>
      <c r="C19" s="120"/>
      <c r="D19" s="242">
        <f>$I$25</f>
        <v>412</v>
      </c>
      <c r="E19" s="159">
        <f>D19*D10</f>
        <v>2739.8</v>
      </c>
      <c r="H19" s="126" t="s">
        <v>192</v>
      </c>
      <c r="I19" s="156">
        <v>0.25390000000000001</v>
      </c>
      <c r="J19" s="56" t="s">
        <v>299</v>
      </c>
    </row>
    <row r="20" spans="2:10" x14ac:dyDescent="0.25">
      <c r="B20" s="153" t="s">
        <v>198</v>
      </c>
      <c r="C20" s="154"/>
      <c r="D20" s="154"/>
      <c r="E20" s="155">
        <f>SUM(E14:E19)</f>
        <v>615842.82577710378</v>
      </c>
      <c r="H20" s="126"/>
      <c r="I20" s="606"/>
      <c r="J20" s="593"/>
    </row>
    <row r="21" spans="2:10" x14ac:dyDescent="0.25">
      <c r="B21" s="126" t="s">
        <v>137</v>
      </c>
      <c r="C21" s="156">
        <f>I29</f>
        <v>2.7811565914169036E-2</v>
      </c>
      <c r="D21" s="200"/>
      <c r="E21" s="562">
        <f>(E15+E16+E17+E18+E19)*C21</f>
        <v>4044.1453253081645</v>
      </c>
      <c r="H21" s="597" t="s">
        <v>393</v>
      </c>
      <c r="I21" s="598">
        <v>180.83</v>
      </c>
      <c r="J21" s="593" t="s">
        <v>398</v>
      </c>
    </row>
    <row r="22" spans="2:10" x14ac:dyDescent="0.25">
      <c r="B22" s="126" t="s">
        <v>199</v>
      </c>
      <c r="C22" s="156">
        <f>$I$28</f>
        <v>0.12</v>
      </c>
      <c r="D22" s="120"/>
      <c r="E22" s="135">
        <f>(E20-E13)*C22</f>
        <v>72373.613023246842</v>
      </c>
      <c r="H22" s="126"/>
      <c r="I22" s="608"/>
      <c r="J22" s="593"/>
    </row>
    <row r="23" spans="2:10" ht="15.75" thickBot="1" x14ac:dyDescent="0.3">
      <c r="B23" s="160" t="s">
        <v>200</v>
      </c>
      <c r="C23" s="161"/>
      <c r="D23" s="161"/>
      <c r="E23" s="162">
        <f>SUM(E20:E22)</f>
        <v>692260.58412565885</v>
      </c>
      <c r="H23" s="126" t="s">
        <v>216</v>
      </c>
      <c r="I23" s="261">
        <v>25.67</v>
      </c>
      <c r="J23" s="609" t="s">
        <v>401</v>
      </c>
    </row>
    <row r="24" spans="2:10" ht="24.75" thickTop="1" thickBot="1" x14ac:dyDescent="0.3">
      <c r="B24" s="324" t="s">
        <v>396</v>
      </c>
      <c r="C24" s="330"/>
      <c r="D24" s="599"/>
      <c r="E24" s="600">
        <f>E23/E4</f>
        <v>158.05036167252484</v>
      </c>
      <c r="H24" s="126" t="s">
        <v>217</v>
      </c>
      <c r="I24" s="261">
        <v>1873</v>
      </c>
      <c r="J24" s="611" t="s">
        <v>402</v>
      </c>
    </row>
    <row r="25" spans="2:10" ht="24" thickBot="1" x14ac:dyDescent="0.3">
      <c r="B25" s="174" t="s">
        <v>396</v>
      </c>
      <c r="C25" s="601">
        <v>0.9</v>
      </c>
      <c r="D25" s="602"/>
      <c r="E25" s="264">
        <f>E24/C25</f>
        <v>175.61151296947205</v>
      </c>
      <c r="H25" s="126" t="s">
        <v>395</v>
      </c>
      <c r="I25" s="261">
        <v>412</v>
      </c>
      <c r="J25" s="611" t="s">
        <v>403</v>
      </c>
    </row>
    <row r="26" spans="2:10" x14ac:dyDescent="0.25">
      <c r="B26" s="603"/>
      <c r="C26" s="603"/>
      <c r="D26" s="604"/>
      <c r="E26" s="604"/>
      <c r="H26" s="122" t="s">
        <v>198</v>
      </c>
      <c r="I26" s="882">
        <f>SUM(I23:I25)</f>
        <v>2310.67</v>
      </c>
      <c r="J26" s="593"/>
    </row>
    <row r="27" spans="2:10" x14ac:dyDescent="0.25">
      <c r="E27" s="603"/>
      <c r="H27" s="126"/>
      <c r="I27" s="120"/>
      <c r="J27" s="593"/>
    </row>
    <row r="28" spans="2:10" x14ac:dyDescent="0.25">
      <c r="E28" s="267"/>
      <c r="H28" s="126" t="s">
        <v>199</v>
      </c>
      <c r="I28" s="606">
        <v>0.12</v>
      </c>
      <c r="J28" s="612" t="s">
        <v>299</v>
      </c>
    </row>
    <row r="29" spans="2:10" ht="15.75" thickBot="1" x14ac:dyDescent="0.3">
      <c r="H29" s="144" t="s">
        <v>137</v>
      </c>
      <c r="I29" s="287">
        <f>'[28]CAF FALL 2022'!CI24</f>
        <v>2.7811565914169036E-2</v>
      </c>
      <c r="J29" s="613" t="s">
        <v>404</v>
      </c>
    </row>
    <row r="30" spans="2:10" x14ac:dyDescent="0.25">
      <c r="E30" s="616"/>
      <c r="H30"/>
      <c r="I30"/>
    </row>
    <row r="31" spans="2:10" x14ac:dyDescent="0.25">
      <c r="E31" s="605"/>
      <c r="H31"/>
      <c r="I31"/>
    </row>
    <row r="32" spans="2:10" x14ac:dyDescent="0.25">
      <c r="E32" s="605"/>
      <c r="H32"/>
      <c r="I32"/>
    </row>
    <row r="33" spans="6:15" x14ac:dyDescent="0.25">
      <c r="H33"/>
      <c r="I33"/>
    </row>
    <row r="34" spans="6:15" x14ac:dyDescent="0.25">
      <c r="H34"/>
      <c r="I34"/>
    </row>
    <row r="35" spans="6:15" x14ac:dyDescent="0.25">
      <c r="H35"/>
      <c r="I35"/>
    </row>
    <row r="36" spans="6:15" x14ac:dyDescent="0.25">
      <c r="H36"/>
      <c r="I36"/>
      <c r="K36" s="40"/>
    </row>
    <row r="37" spans="6:15" x14ac:dyDescent="0.25">
      <c r="H37"/>
      <c r="I37"/>
    </row>
    <row r="38" spans="6:15" x14ac:dyDescent="0.25">
      <c r="H38"/>
      <c r="I38"/>
      <c r="N38" s="607">
        <f>'[28]M2021 BLS  SALARY CHART 53_PCT'!D34</f>
        <v>128978.304</v>
      </c>
      <c r="O38" t="s">
        <v>399</v>
      </c>
    </row>
    <row r="39" spans="6:15" x14ac:dyDescent="0.25">
      <c r="H39"/>
      <c r="I39"/>
      <c r="N39" s="607">
        <f>'[28]M2021 BLS  SALARY CHART 53_PCT'!D44</f>
        <v>247150</v>
      </c>
      <c r="O39" t="s">
        <v>400</v>
      </c>
    </row>
    <row r="40" spans="6:15" x14ac:dyDescent="0.25">
      <c r="F40" s="603"/>
      <c r="H40"/>
      <c r="I40"/>
      <c r="N40" s="607">
        <f>SUM(N38:N39)/2080</f>
        <v>180.83091538461539</v>
      </c>
    </row>
    <row r="41" spans="6:15" x14ac:dyDescent="0.25">
      <c r="F41" s="610"/>
      <c r="H41"/>
      <c r="I41"/>
    </row>
    <row r="42" spans="6:15" x14ac:dyDescent="0.25">
      <c r="H42"/>
      <c r="I42"/>
    </row>
    <row r="43" spans="6:15" x14ac:dyDescent="0.25">
      <c r="H43"/>
      <c r="I43"/>
    </row>
    <row r="44" spans="6:15" x14ac:dyDescent="0.25">
      <c r="H44"/>
      <c r="I44"/>
    </row>
    <row r="45" spans="6:15" x14ac:dyDescent="0.25">
      <c r="H45"/>
      <c r="I45"/>
    </row>
    <row r="46" spans="6:15" x14ac:dyDescent="0.25">
      <c r="H46"/>
      <c r="I46"/>
    </row>
    <row r="47" spans="6:15" x14ac:dyDescent="0.25">
      <c r="H47"/>
      <c r="I47"/>
    </row>
    <row r="48" spans="6:15" x14ac:dyDescent="0.25">
      <c r="H48"/>
      <c r="I48"/>
    </row>
    <row r="49" spans="8:14" x14ac:dyDescent="0.25">
      <c r="H49"/>
      <c r="I49"/>
    </row>
    <row r="50" spans="8:14" x14ac:dyDescent="0.25">
      <c r="H50"/>
      <c r="I50"/>
      <c r="K50" s="345"/>
      <c r="L50" s="345"/>
      <c r="M50" s="345"/>
      <c r="N50" s="345"/>
    </row>
    <row r="51" spans="8:14" x14ac:dyDescent="0.25">
      <c r="H51"/>
      <c r="I51"/>
      <c r="K51" s="345"/>
      <c r="L51" s="345"/>
      <c r="M51" s="345"/>
      <c r="N51" s="345"/>
    </row>
    <row r="52" spans="8:14" x14ac:dyDescent="0.25">
      <c r="H52"/>
      <c r="I52"/>
      <c r="K52" s="345"/>
      <c r="L52" s="345"/>
      <c r="M52" s="345"/>
      <c r="N52" s="345"/>
    </row>
    <row r="53" spans="8:14" x14ac:dyDescent="0.25">
      <c r="H53"/>
      <c r="I53"/>
      <c r="K53" s="345"/>
      <c r="L53" s="345"/>
      <c r="M53" s="345"/>
      <c r="N53" s="345"/>
    </row>
    <row r="54" spans="8:14" x14ac:dyDescent="0.25">
      <c r="H54"/>
      <c r="I54"/>
      <c r="K54" s="345"/>
      <c r="L54" s="345"/>
      <c r="M54" s="345"/>
      <c r="N54" s="345"/>
    </row>
    <row r="55" spans="8:14" x14ac:dyDescent="0.25">
      <c r="H55"/>
      <c r="I55"/>
      <c r="K55" s="345"/>
      <c r="L55" s="345"/>
      <c r="M55" s="345"/>
      <c r="N55" s="345"/>
    </row>
    <row r="56" spans="8:14" x14ac:dyDescent="0.25">
      <c r="H56"/>
      <c r="I56"/>
      <c r="K56" s="345"/>
      <c r="L56" s="345"/>
      <c r="M56" s="345"/>
      <c r="N56" s="345"/>
    </row>
    <row r="57" spans="8:14" x14ac:dyDescent="0.25">
      <c r="H57"/>
      <c r="I57"/>
      <c r="K57" s="345"/>
      <c r="L57" s="345"/>
      <c r="M57" s="345"/>
      <c r="N57" s="345"/>
    </row>
    <row r="58" spans="8:14" x14ac:dyDescent="0.25">
      <c r="H58"/>
      <c r="I58"/>
      <c r="K58" s="345"/>
      <c r="L58" s="345"/>
      <c r="M58" s="345"/>
      <c r="N58" s="345"/>
    </row>
    <row r="59" spans="8:14" x14ac:dyDescent="0.25">
      <c r="H59"/>
      <c r="I59"/>
    </row>
    <row r="60" spans="8:14" x14ac:dyDescent="0.25">
      <c r="H60"/>
      <c r="I60"/>
    </row>
    <row r="61" spans="8:14" x14ac:dyDescent="0.25">
      <c r="H61"/>
      <c r="I61"/>
    </row>
    <row r="62" spans="8:14" x14ac:dyDescent="0.25">
      <c r="H62"/>
      <c r="I62"/>
    </row>
    <row r="63" spans="8:14" x14ac:dyDescent="0.25">
      <c r="H63"/>
      <c r="I63"/>
    </row>
    <row r="64" spans="8:14" x14ac:dyDescent="0.25">
      <c r="H64"/>
      <c r="I64"/>
    </row>
    <row r="65" spans="8:9" x14ac:dyDescent="0.25">
      <c r="H65"/>
      <c r="I65"/>
    </row>
    <row r="66" spans="8:9" x14ac:dyDescent="0.25">
      <c r="H66"/>
      <c r="I66"/>
    </row>
    <row r="67" spans="8:9" x14ac:dyDescent="0.25">
      <c r="H67"/>
      <c r="I67"/>
    </row>
    <row r="68" spans="8:9" x14ac:dyDescent="0.25">
      <c r="H68"/>
      <c r="I68"/>
    </row>
    <row r="69" spans="8:9" x14ac:dyDescent="0.25">
      <c r="H69"/>
      <c r="I69"/>
    </row>
    <row r="70" spans="8:9" x14ac:dyDescent="0.25">
      <c r="H70"/>
      <c r="I70"/>
    </row>
    <row r="71" spans="8:9" x14ac:dyDescent="0.25">
      <c r="H71"/>
      <c r="I71"/>
    </row>
  </sheetData>
  <mergeCells count="3">
    <mergeCell ref="H18:I18"/>
    <mergeCell ref="H2:I2"/>
    <mergeCell ref="B3:E3"/>
  </mergeCells>
  <pageMargins left="0.25" right="0.25" top="0.25" bottom="0.25" header="0.05" footer="0.05"/>
  <pageSetup paperSize="5" scale="6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9A2A-BB12-4906-9B6D-E99F75A40E85}">
  <sheetPr>
    <pageSetUpPr fitToPage="1"/>
  </sheetPr>
  <dimension ref="B2:T44"/>
  <sheetViews>
    <sheetView topLeftCell="B1" zoomScaleNormal="100" workbookViewId="0">
      <selection activeCell="G33" sqref="G33"/>
    </sheetView>
  </sheetViews>
  <sheetFormatPr defaultColWidth="8.85546875" defaultRowHeight="15.75" x14ac:dyDescent="0.25"/>
  <cols>
    <col min="1" max="1" width="8.85546875" style="40"/>
    <col min="2" max="2" width="36.42578125" style="40" customWidth="1"/>
    <col min="3" max="3" width="12.85546875" style="40" customWidth="1"/>
    <col min="4" max="4" width="14.140625" style="40" customWidth="1"/>
    <col min="5" max="5" width="18.85546875" style="40" customWidth="1"/>
    <col min="6" max="6" width="12.85546875" style="618" customWidth="1"/>
    <col min="7" max="7" width="21.7109375" style="40" customWidth="1"/>
    <col min="8" max="8" width="10.85546875" style="40" customWidth="1"/>
    <col min="9" max="9" width="12.5703125" style="40" customWidth="1"/>
    <col min="10" max="10" width="38.28515625" style="619" customWidth="1"/>
    <col min="11" max="11" width="10.5703125" style="40" hidden="1" customWidth="1"/>
    <col min="12" max="21" width="0" style="40" hidden="1" customWidth="1"/>
    <col min="22" max="16384" width="8.85546875" style="40"/>
  </cols>
  <sheetData>
    <row r="2" spans="2:18" ht="16.5" thickBot="1" x14ac:dyDescent="0.3">
      <c r="B2" s="617"/>
    </row>
    <row r="3" spans="2:18" x14ac:dyDescent="0.25">
      <c r="B3" s="1011" t="s">
        <v>405</v>
      </c>
      <c r="C3" s="1012"/>
      <c r="D3" s="1012"/>
      <c r="E3" s="1013"/>
      <c r="G3" s="1017" t="s">
        <v>406</v>
      </c>
      <c r="H3" s="1018"/>
      <c r="I3" s="1018"/>
      <c r="J3" s="620"/>
    </row>
    <row r="4" spans="2:18" ht="16.5" thickBot="1" x14ac:dyDescent="0.3">
      <c r="B4" s="1014"/>
      <c r="C4" s="1015"/>
      <c r="D4" s="1015"/>
      <c r="E4" s="1016"/>
      <c r="G4" s="621"/>
      <c r="H4" s="622" t="s">
        <v>156</v>
      </c>
      <c r="I4" s="623" t="s">
        <v>157</v>
      </c>
      <c r="J4" s="624"/>
    </row>
    <row r="5" spans="2:18" ht="16.5" thickBot="1" x14ac:dyDescent="0.3">
      <c r="B5" s="683" t="s">
        <v>165</v>
      </c>
      <c r="C5" s="684">
        <v>6</v>
      </c>
      <c r="D5" s="685" t="s">
        <v>166</v>
      </c>
      <c r="E5" s="686">
        <f>C5*365</f>
        <v>2190</v>
      </c>
      <c r="G5" s="839" t="s">
        <v>171</v>
      </c>
      <c r="H5" s="625">
        <v>15</v>
      </c>
      <c r="I5" s="625">
        <f>H5*8</f>
        <v>120</v>
      </c>
      <c r="J5" s="624"/>
    </row>
    <row r="6" spans="2:18" ht="16.5" thickBot="1" x14ac:dyDescent="0.3">
      <c r="B6" s="652"/>
      <c r="C6" s="687"/>
      <c r="D6" s="687" t="s">
        <v>169</v>
      </c>
      <c r="E6" s="688" t="s">
        <v>170</v>
      </c>
      <c r="G6" s="597" t="s">
        <v>173</v>
      </c>
      <c r="H6" s="625">
        <v>8</v>
      </c>
      <c r="I6" s="625">
        <f>H6*8</f>
        <v>64</v>
      </c>
      <c r="J6" s="624"/>
    </row>
    <row r="7" spans="2:18" x14ac:dyDescent="0.25">
      <c r="B7" s="126" t="s">
        <v>172</v>
      </c>
      <c r="D7" s="277">
        <v>0.75</v>
      </c>
      <c r="E7" s="135">
        <v>54731</v>
      </c>
      <c r="G7" s="597" t="s">
        <v>174</v>
      </c>
      <c r="H7" s="625">
        <v>11</v>
      </c>
      <c r="I7" s="625">
        <f>H7*8</f>
        <v>88</v>
      </c>
      <c r="J7" s="136" t="s">
        <v>493</v>
      </c>
    </row>
    <row r="8" spans="2:18" x14ac:dyDescent="0.25">
      <c r="B8" s="126" t="s">
        <v>177</v>
      </c>
      <c r="D8" s="218">
        <v>0.47499999999999998</v>
      </c>
      <c r="E8" s="135">
        <v>40340</v>
      </c>
      <c r="G8" s="597" t="s">
        <v>176</v>
      </c>
      <c r="H8" s="625">
        <v>5</v>
      </c>
      <c r="I8" s="625">
        <f>H8*8</f>
        <v>40</v>
      </c>
      <c r="J8" s="624"/>
    </row>
    <row r="9" spans="2:18" x14ac:dyDescent="0.25">
      <c r="B9" s="137" t="s">
        <v>220</v>
      </c>
      <c r="C9" s="674"/>
      <c r="D9" s="278">
        <v>11.49</v>
      </c>
      <c r="E9" s="275">
        <v>466276</v>
      </c>
      <c r="G9" s="597"/>
      <c r="H9" s="630" t="s">
        <v>161</v>
      </c>
      <c r="I9" s="625">
        <f>SUM(I5:I8)</f>
        <v>312</v>
      </c>
      <c r="J9" s="624"/>
    </row>
    <row r="10" spans="2:18" x14ac:dyDescent="0.25">
      <c r="B10" s="640" t="s">
        <v>187</v>
      </c>
      <c r="C10" s="641"/>
      <c r="D10" s="689">
        <f>SUM(D7:D9)</f>
        <v>12.715</v>
      </c>
      <c r="E10" s="642">
        <f>SUM(E7:E9)</f>
        <v>561347</v>
      </c>
      <c r="G10" s="597"/>
      <c r="H10" s="630" t="s">
        <v>178</v>
      </c>
      <c r="I10" s="631">
        <f>I9/(52*40)</f>
        <v>0.15</v>
      </c>
      <c r="J10" s="624"/>
    </row>
    <row r="11" spans="2:18" x14ac:dyDescent="0.25">
      <c r="B11" s="621" t="s">
        <v>229</v>
      </c>
      <c r="C11" s="643"/>
      <c r="D11" s="626"/>
      <c r="E11" s="629"/>
      <c r="G11" s="391"/>
      <c r="H11" s="632"/>
      <c r="I11" s="632"/>
      <c r="J11" s="624"/>
    </row>
    <row r="12" spans="2:18" x14ac:dyDescent="0.25">
      <c r="B12" s="597" t="s">
        <v>192</v>
      </c>
      <c r="C12" s="644">
        <f>I27</f>
        <v>0.25390000000000001</v>
      </c>
      <c r="D12" s="626"/>
      <c r="E12" s="638">
        <f>E10*C12</f>
        <v>142526.00330000001</v>
      </c>
      <c r="G12" s="812" t="s">
        <v>480</v>
      </c>
      <c r="H12" s="840" t="s">
        <v>464</v>
      </c>
      <c r="I12" s="813"/>
      <c r="J12" s="624"/>
      <c r="L12" s="40" t="s">
        <v>123</v>
      </c>
      <c r="M12" s="120"/>
      <c r="N12" s="120"/>
      <c r="O12" s="120"/>
      <c r="P12" s="120"/>
      <c r="Q12" s="120"/>
    </row>
    <row r="13" spans="2:18" x14ac:dyDescent="0.25">
      <c r="B13" s="597" t="s">
        <v>486</v>
      </c>
      <c r="C13" s="644">
        <f>C22</f>
        <v>2.7811565914169036E-2</v>
      </c>
      <c r="D13" s="626"/>
      <c r="E13" s="638">
        <f>(E10+E12)*C13</f>
        <v>19575.810426482069</v>
      </c>
      <c r="G13" s="621" t="s">
        <v>172</v>
      </c>
      <c r="H13" s="626"/>
      <c r="I13" s="628"/>
      <c r="J13" s="624"/>
      <c r="K13" s="633"/>
      <c r="L13" s="634" t="s">
        <v>407</v>
      </c>
      <c r="M13" s="634" t="s">
        <v>408</v>
      </c>
      <c r="N13" s="634" t="s">
        <v>409</v>
      </c>
      <c r="O13" s="634" t="s">
        <v>410</v>
      </c>
      <c r="P13" s="634" t="s">
        <v>411</v>
      </c>
      <c r="Q13" s="634" t="s">
        <v>412</v>
      </c>
      <c r="R13" s="634" t="s">
        <v>407</v>
      </c>
    </row>
    <row r="14" spans="2:18" x14ac:dyDescent="0.25">
      <c r="B14" s="640" t="s">
        <v>194</v>
      </c>
      <c r="C14" s="641"/>
      <c r="D14" s="645"/>
      <c r="E14" s="642">
        <f>SUM(E10:E13)</f>
        <v>723448.8137264821</v>
      </c>
      <c r="G14" s="126" t="s">
        <v>385</v>
      </c>
      <c r="H14" s="648">
        <f>0.75</f>
        <v>0.75</v>
      </c>
      <c r="I14" s="635"/>
      <c r="J14" s="594" t="s">
        <v>386</v>
      </c>
      <c r="K14" s="633" t="s">
        <v>357</v>
      </c>
      <c r="L14" s="636">
        <v>1</v>
      </c>
      <c r="M14" s="636">
        <v>0</v>
      </c>
      <c r="N14" s="636">
        <v>0</v>
      </c>
      <c r="O14" s="636">
        <v>0</v>
      </c>
      <c r="P14" s="636">
        <v>0</v>
      </c>
      <c r="Q14" s="636">
        <v>0</v>
      </c>
      <c r="R14" s="636">
        <v>1</v>
      </c>
    </row>
    <row r="15" spans="2:18" x14ac:dyDescent="0.25">
      <c r="B15" s="597"/>
      <c r="C15" s="626"/>
      <c r="D15" s="646"/>
      <c r="E15" s="638"/>
      <c r="G15" s="621" t="s">
        <v>177</v>
      </c>
      <c r="H15" s="626"/>
      <c r="I15" s="635"/>
      <c r="J15" s="624"/>
      <c r="K15" s="633" t="s">
        <v>358</v>
      </c>
      <c r="L15" s="636">
        <v>1</v>
      </c>
      <c r="M15" s="636">
        <v>0</v>
      </c>
      <c r="N15" s="636">
        <v>0</v>
      </c>
      <c r="O15" s="636">
        <v>0</v>
      </c>
      <c r="P15" s="636">
        <v>0</v>
      </c>
      <c r="Q15" s="636">
        <v>0</v>
      </c>
      <c r="R15" s="636">
        <v>1</v>
      </c>
    </row>
    <row r="16" spans="2:18" ht="16.5" thickBot="1" x14ac:dyDescent="0.3">
      <c r="B16" s="597" t="s">
        <v>393</v>
      </c>
      <c r="C16" s="626"/>
      <c r="D16" s="646">
        <f>I32</f>
        <v>180.83</v>
      </c>
      <c r="E16" s="638">
        <f>D16*4*52</f>
        <v>37612.639999999999</v>
      </c>
      <c r="G16" s="597" t="s">
        <v>413</v>
      </c>
      <c r="H16" s="648">
        <v>0.25</v>
      </c>
      <c r="I16" s="635"/>
      <c r="J16" s="594" t="s">
        <v>386</v>
      </c>
      <c r="K16" s="633" t="s">
        <v>360</v>
      </c>
      <c r="L16" s="637">
        <v>0.5</v>
      </c>
      <c r="M16" s="637">
        <v>0</v>
      </c>
      <c r="N16" s="637">
        <v>0</v>
      </c>
      <c r="O16" s="637">
        <v>0</v>
      </c>
      <c r="P16" s="637">
        <v>0</v>
      </c>
      <c r="Q16" s="637">
        <v>0</v>
      </c>
      <c r="R16" s="637">
        <v>0.5</v>
      </c>
    </row>
    <row r="17" spans="2:20" ht="16.5" thickTop="1" x14ac:dyDescent="0.25">
      <c r="B17" s="597" t="s">
        <v>394</v>
      </c>
      <c r="C17" s="626"/>
      <c r="D17" s="646">
        <f>'[28]FY24 Add on Rates'!E23</f>
        <v>58.857122137722364</v>
      </c>
      <c r="E17" s="638">
        <f>D17*12*52</f>
        <v>36726.844213938755</v>
      </c>
      <c r="G17" s="597" t="s">
        <v>414</v>
      </c>
      <c r="H17" s="649">
        <f>0.2+0.025</f>
        <v>0.22500000000000001</v>
      </c>
      <c r="I17" s="635"/>
      <c r="J17" s="594" t="s">
        <v>386</v>
      </c>
      <c r="K17" s="633"/>
      <c r="L17" s="636">
        <f>SUM(L14:L16)</f>
        <v>2.5</v>
      </c>
      <c r="M17" s="636">
        <f t="shared" ref="M17:R17" si="0">SUM(M14:M16)</f>
        <v>0</v>
      </c>
      <c r="N17" s="636">
        <f t="shared" si="0"/>
        <v>0</v>
      </c>
      <c r="O17" s="636">
        <f t="shared" si="0"/>
        <v>0</v>
      </c>
      <c r="P17" s="636">
        <f t="shared" si="0"/>
        <v>0</v>
      </c>
      <c r="Q17" s="636">
        <f t="shared" si="0"/>
        <v>0</v>
      </c>
      <c r="R17" s="636">
        <f t="shared" si="0"/>
        <v>2.5</v>
      </c>
      <c r="S17" s="636">
        <f>SUM(L17:R17)</f>
        <v>5</v>
      </c>
    </row>
    <row r="18" spans="2:20" x14ac:dyDescent="0.25">
      <c r="B18" s="597" t="str">
        <f>G29</f>
        <v>Occupancy (per bed day)</v>
      </c>
      <c r="C18" s="626"/>
      <c r="D18" s="646">
        <f>I29</f>
        <v>36.21</v>
      </c>
      <c r="E18" s="638">
        <f>D18*E5</f>
        <v>79299.900000000009</v>
      </c>
      <c r="G18" s="597"/>
      <c r="H18" s="648"/>
      <c r="I18" s="635"/>
      <c r="J18" s="594" t="s">
        <v>386</v>
      </c>
      <c r="K18" s="120"/>
      <c r="L18" s="120"/>
      <c r="M18" s="120"/>
      <c r="N18" s="120"/>
      <c r="O18" s="120"/>
      <c r="P18" s="120"/>
      <c r="Q18" s="120"/>
      <c r="S18" s="51">
        <f>S17*8</f>
        <v>40</v>
      </c>
    </row>
    <row r="19" spans="2:20" x14ac:dyDescent="0.25">
      <c r="B19" s="597" t="s">
        <v>217</v>
      </c>
      <c r="C19" s="626"/>
      <c r="D19" s="646">
        <f>I30</f>
        <v>18.36</v>
      </c>
      <c r="E19" s="638">
        <f>D19*E5</f>
        <v>40208.400000000001</v>
      </c>
      <c r="G19" s="621" t="s">
        <v>121</v>
      </c>
      <c r="H19" s="626"/>
      <c r="I19" s="635"/>
      <c r="J19" s="624"/>
      <c r="L19" s="40" t="s">
        <v>415</v>
      </c>
      <c r="M19" s="120"/>
      <c r="N19" s="120"/>
      <c r="O19" s="120"/>
      <c r="P19" s="120"/>
      <c r="Q19" s="120"/>
      <c r="S19" s="639">
        <f>S18/40</f>
        <v>1</v>
      </c>
    </row>
    <row r="20" spans="2:20" x14ac:dyDescent="0.25">
      <c r="B20" s="640" t="s">
        <v>198</v>
      </c>
      <c r="C20" s="641"/>
      <c r="D20" s="641"/>
      <c r="E20" s="642">
        <f>SUM(E14:E19)</f>
        <v>917296.59794042096</v>
      </c>
      <c r="G20" s="597" t="s">
        <v>389</v>
      </c>
      <c r="H20" s="648">
        <f>1</f>
        <v>1</v>
      </c>
      <c r="I20" s="635"/>
      <c r="J20" s="594" t="s">
        <v>386</v>
      </c>
      <c r="K20" s="633"/>
      <c r="L20" s="634" t="s">
        <v>407</v>
      </c>
      <c r="M20" s="634" t="s">
        <v>408</v>
      </c>
      <c r="N20" s="634" t="s">
        <v>409</v>
      </c>
      <c r="O20" s="634" t="s">
        <v>410</v>
      </c>
      <c r="P20" s="634" t="s">
        <v>411</v>
      </c>
      <c r="Q20" s="634" t="s">
        <v>412</v>
      </c>
      <c r="R20" s="634" t="s">
        <v>407</v>
      </c>
    </row>
    <row r="21" spans="2:20" x14ac:dyDescent="0.25">
      <c r="B21" s="597" t="s">
        <v>199</v>
      </c>
      <c r="C21" s="643">
        <f>I31</f>
        <v>0.12</v>
      </c>
      <c r="D21" s="626"/>
      <c r="E21" s="629">
        <f>C21*(E20-E13)</f>
        <v>107726.49450167266</v>
      </c>
      <c r="G21" s="597" t="s">
        <v>416</v>
      </c>
      <c r="H21" s="648">
        <f>7.4</f>
        <v>7.4</v>
      </c>
      <c r="I21" s="635"/>
      <c r="J21" s="594" t="s">
        <v>386</v>
      </c>
      <c r="K21" s="633" t="s">
        <v>357</v>
      </c>
      <c r="L21" s="636">
        <v>1</v>
      </c>
      <c r="M21" s="636">
        <v>2</v>
      </c>
      <c r="N21" s="636">
        <v>2</v>
      </c>
      <c r="O21" s="636">
        <v>2</v>
      </c>
      <c r="P21" s="636">
        <v>2</v>
      </c>
      <c r="Q21" s="636">
        <v>2</v>
      </c>
      <c r="R21" s="636">
        <v>1</v>
      </c>
    </row>
    <row r="22" spans="2:20" x14ac:dyDescent="0.25">
      <c r="B22" s="597" t="s">
        <v>214</v>
      </c>
      <c r="C22" s="643">
        <f>I33</f>
        <v>2.7811565914169036E-2</v>
      </c>
      <c r="D22" s="626"/>
      <c r="E22" s="629">
        <f>(E16+E17+E18+E19)*C22</f>
        <v>5391.210427981574</v>
      </c>
      <c r="G22" s="597" t="s">
        <v>417</v>
      </c>
      <c r="H22" s="648">
        <v>0.5</v>
      </c>
      <c r="I22" s="635"/>
      <c r="J22" s="594" t="s">
        <v>386</v>
      </c>
      <c r="K22" s="633" t="s">
        <v>358</v>
      </c>
      <c r="L22" s="636">
        <v>1</v>
      </c>
      <c r="M22" s="636">
        <v>2</v>
      </c>
      <c r="N22" s="636">
        <v>2</v>
      </c>
      <c r="O22" s="636">
        <v>2</v>
      </c>
      <c r="P22" s="636">
        <v>2</v>
      </c>
      <c r="Q22" s="636">
        <v>2</v>
      </c>
      <c r="R22" s="636">
        <v>1</v>
      </c>
    </row>
    <row r="23" spans="2:20" ht="16.5" thickBot="1" x14ac:dyDescent="0.3">
      <c r="B23" s="621" t="s">
        <v>200</v>
      </c>
      <c r="C23" s="626"/>
      <c r="D23" s="626"/>
      <c r="E23" s="651">
        <f>SUM(E20:E22)</f>
        <v>1030414.3028700752</v>
      </c>
      <c r="G23" s="597" t="s">
        <v>481</v>
      </c>
      <c r="H23" s="648">
        <v>1</v>
      </c>
      <c r="I23" s="635"/>
      <c r="J23" s="594" t="s">
        <v>386</v>
      </c>
      <c r="K23" s="633" t="s">
        <v>360</v>
      </c>
      <c r="L23" s="637">
        <v>1.5</v>
      </c>
      <c r="M23" s="637">
        <v>2</v>
      </c>
      <c r="N23" s="637">
        <v>2</v>
      </c>
      <c r="O23" s="637">
        <v>2</v>
      </c>
      <c r="P23" s="637">
        <v>2</v>
      </c>
      <c r="Q23" s="637">
        <v>2</v>
      </c>
      <c r="R23" s="637">
        <v>1.5</v>
      </c>
    </row>
    <row r="24" spans="2:20" ht="17.25" thickTop="1" thickBot="1" x14ac:dyDescent="0.3">
      <c r="B24" s="652" t="s">
        <v>425</v>
      </c>
      <c r="C24" s="654"/>
      <c r="D24" s="653"/>
      <c r="E24" s="655">
        <f>E23/12</f>
        <v>85867.858572506273</v>
      </c>
      <c r="G24" s="597" t="s">
        <v>392</v>
      </c>
      <c r="H24" s="648">
        <f>0.25</f>
        <v>0.25</v>
      </c>
      <c r="I24" s="635"/>
      <c r="J24" s="594" t="s">
        <v>386</v>
      </c>
      <c r="K24" s="633"/>
      <c r="L24" s="636">
        <f>SUM(L21:L23)</f>
        <v>3.5</v>
      </c>
      <c r="M24" s="636">
        <f t="shared" ref="M24:R24" si="1">SUM(M21:M23)</f>
        <v>6</v>
      </c>
      <c r="N24" s="636">
        <f t="shared" si="1"/>
        <v>6</v>
      </c>
      <c r="O24" s="636">
        <f t="shared" si="1"/>
        <v>6</v>
      </c>
      <c r="P24" s="636">
        <f t="shared" si="1"/>
        <v>6</v>
      </c>
      <c r="Q24" s="636">
        <f t="shared" si="1"/>
        <v>6</v>
      </c>
      <c r="R24" s="636">
        <f t="shared" si="1"/>
        <v>3.5</v>
      </c>
      <c r="S24" s="51">
        <f>SUM(L24:R24)</f>
        <v>37</v>
      </c>
      <c r="T24" s="40" t="s">
        <v>419</v>
      </c>
    </row>
    <row r="25" spans="2:20" x14ac:dyDescent="0.25">
      <c r="B25" s="657"/>
      <c r="C25" s="658"/>
      <c r="D25" s="659"/>
      <c r="E25" s="660"/>
      <c r="G25" s="597" t="s">
        <v>418</v>
      </c>
      <c r="H25" s="648">
        <f>(H20+H21+H22)*I10</f>
        <v>1.335</v>
      </c>
      <c r="I25" s="635"/>
      <c r="J25" s="594" t="s">
        <v>386</v>
      </c>
      <c r="K25" s="633"/>
      <c r="L25" s="633"/>
      <c r="M25" s="633"/>
      <c r="N25" s="633"/>
      <c r="O25" s="633"/>
      <c r="P25" s="633"/>
      <c r="Q25" s="633"/>
      <c r="R25" s="633"/>
      <c r="S25" s="51">
        <f>S24*8</f>
        <v>296</v>
      </c>
      <c r="T25" s="40" t="s">
        <v>420</v>
      </c>
    </row>
    <row r="26" spans="2:20" x14ac:dyDescent="0.25">
      <c r="B26" s="657"/>
      <c r="C26" s="662"/>
      <c r="D26" s="659"/>
      <c r="E26" s="660"/>
      <c r="G26" s="1019" t="s">
        <v>206</v>
      </c>
      <c r="H26" s="1020"/>
      <c r="I26" s="1020"/>
      <c r="J26" s="624"/>
      <c r="K26" s="633"/>
      <c r="L26" s="633"/>
      <c r="M26" s="633"/>
      <c r="N26" s="633"/>
      <c r="O26" s="633"/>
      <c r="P26" s="633"/>
      <c r="Q26" s="633"/>
      <c r="R26" s="633"/>
      <c r="S26" s="639">
        <f>S25/40</f>
        <v>7.4</v>
      </c>
      <c r="T26" s="40" t="s">
        <v>421</v>
      </c>
    </row>
    <row r="27" spans="2:20" x14ac:dyDescent="0.25">
      <c r="B27" s="657"/>
      <c r="C27" s="662"/>
      <c r="D27" s="659"/>
      <c r="E27" s="665"/>
      <c r="G27" s="597" t="s">
        <v>192</v>
      </c>
      <c r="H27" s="626"/>
      <c r="I27" s="883">
        <f>'[28]3064 Intensive Therapeutic Care'!R36</f>
        <v>0.25390000000000001</v>
      </c>
      <c r="J27" s="624" t="str" cm="1">
        <f t="array" ref="J27:K27">'[28]3064 Intensive Therapeutic Care'!S36:T36</f>
        <v>C.257 Benchmark</v>
      </c>
      <c r="K27" s="633">
        <v>0</v>
      </c>
      <c r="L27" s="633" t="s">
        <v>422</v>
      </c>
      <c r="M27" s="633"/>
      <c r="N27" s="633"/>
      <c r="O27" s="633"/>
      <c r="P27" s="633"/>
      <c r="Q27" s="633"/>
      <c r="R27" s="633"/>
    </row>
    <row r="28" spans="2:20" x14ac:dyDescent="0.25">
      <c r="B28" s="657"/>
      <c r="C28" s="662"/>
      <c r="D28" s="659"/>
      <c r="E28" s="660"/>
      <c r="G28" s="597"/>
      <c r="H28" s="626"/>
      <c r="I28" s="884"/>
      <c r="J28" s="624"/>
      <c r="K28" s="633"/>
      <c r="L28" s="634" t="s">
        <v>407</v>
      </c>
      <c r="M28" s="634" t="s">
        <v>408</v>
      </c>
      <c r="N28" s="634" t="s">
        <v>409</v>
      </c>
      <c r="O28" s="634" t="s">
        <v>410</v>
      </c>
      <c r="P28" s="634" t="s">
        <v>411</v>
      </c>
      <c r="Q28" s="634" t="s">
        <v>412</v>
      </c>
      <c r="R28" s="634" t="s">
        <v>407</v>
      </c>
    </row>
    <row r="29" spans="2:20" x14ac:dyDescent="0.25">
      <c r="B29" s="632"/>
      <c r="C29" s="632"/>
      <c r="D29" s="664"/>
      <c r="E29" s="665"/>
      <c r="G29" s="597" t="s">
        <v>426</v>
      </c>
      <c r="H29" s="626"/>
      <c r="I29" s="885">
        <v>36.21</v>
      </c>
      <c r="J29" s="624" t="s">
        <v>427</v>
      </c>
      <c r="K29" s="633" t="s">
        <v>157</v>
      </c>
      <c r="L29" s="636">
        <v>4</v>
      </c>
      <c r="M29" s="636">
        <v>4</v>
      </c>
      <c r="N29" s="636">
        <v>4</v>
      </c>
      <c r="O29" s="636">
        <v>4</v>
      </c>
      <c r="P29" s="636">
        <v>4</v>
      </c>
      <c r="Q29" s="636">
        <v>4</v>
      </c>
      <c r="R29" s="636">
        <v>4</v>
      </c>
      <c r="S29" s="40">
        <f>SUM(L29:R29)</f>
        <v>28</v>
      </c>
      <c r="T29" s="40" t="s">
        <v>423</v>
      </c>
    </row>
    <row r="30" spans="2:20" x14ac:dyDescent="0.25">
      <c r="B30" s="632"/>
      <c r="C30" s="632"/>
      <c r="D30" s="632"/>
      <c r="E30" s="632"/>
      <c r="G30" s="597" t="s">
        <v>217</v>
      </c>
      <c r="H30" s="626"/>
      <c r="I30" s="885">
        <v>18.36</v>
      </c>
      <c r="J30" s="624" t="s">
        <v>428</v>
      </c>
      <c r="K30" s="633"/>
      <c r="L30" s="633"/>
      <c r="M30" s="633"/>
      <c r="N30" s="633"/>
      <c r="O30" s="633"/>
      <c r="P30" s="633"/>
      <c r="Q30" s="633"/>
      <c r="R30" s="633"/>
      <c r="S30" s="650">
        <f>S29/40</f>
        <v>0.7</v>
      </c>
      <c r="T30" s="40" t="s">
        <v>424</v>
      </c>
    </row>
    <row r="31" spans="2:20" ht="14.25" customHeight="1" x14ac:dyDescent="0.25">
      <c r="B31" s="632"/>
      <c r="C31" s="632"/>
      <c r="D31" s="632"/>
      <c r="E31" s="668"/>
      <c r="G31" s="597" t="s">
        <v>199</v>
      </c>
      <c r="I31" s="886">
        <v>0.12</v>
      </c>
      <c r="J31" s="624" t="str">
        <f>'[28]3064 Intensive Therapeutic Care'!S45</f>
        <v>C.257 Benchmark</v>
      </c>
    </row>
    <row r="32" spans="2:20" x14ac:dyDescent="0.25">
      <c r="B32" s="632"/>
      <c r="C32" s="669"/>
      <c r="D32" s="632"/>
      <c r="E32" s="668"/>
      <c r="G32" s="597" t="s">
        <v>393</v>
      </c>
      <c r="I32" s="885">
        <v>180.83</v>
      </c>
      <c r="J32" s="671" t="s">
        <v>398</v>
      </c>
      <c r="K32" s="650"/>
    </row>
    <row r="33" spans="2:10" ht="28.15" customHeight="1" thickBot="1" x14ac:dyDescent="0.3">
      <c r="B33" s="632"/>
      <c r="C33" s="669"/>
      <c r="D33" s="632"/>
      <c r="E33" s="632"/>
      <c r="G33" s="144" t="s">
        <v>214</v>
      </c>
      <c r="H33" s="673"/>
      <c r="I33" s="887">
        <f>'[28]3064 Intensive Therapeutic Care'!R46</f>
        <v>2.7811565914169036E-2</v>
      </c>
      <c r="J33" s="613" t="str">
        <f>'[28]3064 Intensive Therapeutic Care'!S46</f>
        <v>FY23 &amp; FY24</v>
      </c>
    </row>
    <row r="34" spans="2:10" x14ac:dyDescent="0.25">
      <c r="B34" s="632"/>
      <c r="C34" s="669"/>
      <c r="D34" s="632"/>
      <c r="E34" s="632"/>
      <c r="F34" s="656"/>
    </row>
    <row r="35" spans="2:10" ht="16.5" thickBot="1" x14ac:dyDescent="0.3">
      <c r="B35" s="632"/>
      <c r="C35" s="672"/>
      <c r="D35" s="632"/>
      <c r="E35" s="632"/>
      <c r="F35" s="661"/>
    </row>
    <row r="36" spans="2:10" ht="16.5" thickBot="1" x14ac:dyDescent="0.3">
      <c r="B36" s="632"/>
      <c r="C36" s="632"/>
      <c r="D36" s="632"/>
      <c r="E36" s="632"/>
      <c r="G36" s="418" t="s">
        <v>309</v>
      </c>
      <c r="H36" s="345"/>
      <c r="I36" s="345"/>
    </row>
    <row r="37" spans="2:10" x14ac:dyDescent="0.25">
      <c r="F37" s="663"/>
      <c r="G37" s="419"/>
      <c r="H37" s="420"/>
      <c r="I37" s="421"/>
    </row>
    <row r="38" spans="2:10" x14ac:dyDescent="0.25">
      <c r="G38" s="422" t="s">
        <v>429</v>
      </c>
      <c r="H38" s="345"/>
      <c r="I38" s="423"/>
    </row>
    <row r="39" spans="2:10" x14ac:dyDescent="0.25">
      <c r="F39" s="666"/>
      <c r="G39" s="422" t="s">
        <v>311</v>
      </c>
      <c r="H39" s="345"/>
      <c r="I39" s="423"/>
    </row>
    <row r="40" spans="2:10" x14ac:dyDescent="0.25">
      <c r="G40" s="422"/>
      <c r="H40" s="345"/>
      <c r="I40" s="423"/>
    </row>
    <row r="41" spans="2:10" x14ac:dyDescent="0.25">
      <c r="G41" s="422"/>
      <c r="H41" s="345"/>
      <c r="I41" s="423"/>
    </row>
    <row r="42" spans="2:10" x14ac:dyDescent="0.25">
      <c r="G42" s="422"/>
      <c r="H42" s="345"/>
      <c r="I42" s="423"/>
    </row>
    <row r="43" spans="2:10" x14ac:dyDescent="0.25">
      <c r="G43" s="422"/>
      <c r="H43" s="345"/>
      <c r="I43" s="423"/>
    </row>
    <row r="44" spans="2:10" ht="16.5" thickBot="1" x14ac:dyDescent="0.3">
      <c r="G44" s="424"/>
      <c r="H44" s="425"/>
      <c r="I44" s="426"/>
    </row>
  </sheetData>
  <mergeCells count="3">
    <mergeCell ref="B3:E4"/>
    <mergeCell ref="G3:I3"/>
    <mergeCell ref="G26:I26"/>
  </mergeCells>
  <pageMargins left="0.25" right="0.25" top="0.25" bottom="0.25" header="0.05" footer="0.05"/>
  <pageSetup paperSize="5" scale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D2BF-48DE-4E0A-9E92-07BDC0AD5CD4}">
  <sheetPr>
    <pageSetUpPr fitToPage="1"/>
  </sheetPr>
  <dimension ref="B2:T52"/>
  <sheetViews>
    <sheetView topLeftCell="E1" workbookViewId="0">
      <selection activeCell="H14" sqref="H14:H27"/>
    </sheetView>
  </sheetViews>
  <sheetFormatPr defaultColWidth="8.85546875" defaultRowHeight="15" x14ac:dyDescent="0.25"/>
  <cols>
    <col min="1" max="1" width="2.42578125" style="40" customWidth="1"/>
    <col min="2" max="2" width="36.42578125" style="40" customWidth="1"/>
    <col min="3" max="3" width="12.85546875" style="40" customWidth="1"/>
    <col min="4" max="4" width="14.140625" style="40" customWidth="1"/>
    <col min="5" max="5" width="18.85546875" style="40" customWidth="1"/>
    <col min="6" max="6" width="12.140625" style="40" customWidth="1"/>
    <col min="7" max="7" width="31.7109375" style="40" customWidth="1"/>
    <col min="8" max="8" width="12.85546875" style="40" customWidth="1"/>
    <col min="9" max="9" width="13.7109375" style="40" customWidth="1"/>
    <col min="10" max="10" width="38" style="619" customWidth="1"/>
    <col min="11" max="20" width="0" style="40" hidden="1" customWidth="1"/>
    <col min="21" max="16384" width="8.85546875" style="40"/>
  </cols>
  <sheetData>
    <row r="2" spans="2:12" ht="15.75" thickBot="1" x14ac:dyDescent="0.3">
      <c r="B2" s="617"/>
    </row>
    <row r="3" spans="2:12" x14ac:dyDescent="0.25">
      <c r="B3" s="1011" t="s">
        <v>430</v>
      </c>
      <c r="C3" s="1012"/>
      <c r="D3" s="1012"/>
      <c r="E3" s="1013"/>
      <c r="F3" s="632"/>
      <c r="G3" s="1017" t="s">
        <v>406</v>
      </c>
      <c r="H3" s="1018"/>
      <c r="I3" s="1018"/>
      <c r="J3" s="620"/>
    </row>
    <row r="4" spans="2:12" ht="15.75" thickBot="1" x14ac:dyDescent="0.3">
      <c r="B4" s="1014"/>
      <c r="C4" s="1015"/>
      <c r="D4" s="1015"/>
      <c r="E4" s="1016"/>
      <c r="F4" s="632"/>
      <c r="G4" s="621"/>
      <c r="H4" s="622" t="s">
        <v>156</v>
      </c>
      <c r="I4" s="623" t="s">
        <v>157</v>
      </c>
      <c r="J4" s="624"/>
    </row>
    <row r="5" spans="2:12" ht="15.75" thickBot="1" x14ac:dyDescent="0.3">
      <c r="B5" s="683" t="s">
        <v>165</v>
      </c>
      <c r="C5" s="684">
        <v>9</v>
      </c>
      <c r="D5" s="685" t="s">
        <v>166</v>
      </c>
      <c r="E5" s="686">
        <f>C5*365</f>
        <v>3285</v>
      </c>
      <c r="F5" s="632"/>
      <c r="G5" s="597" t="s">
        <v>171</v>
      </c>
      <c r="H5" s="625">
        <v>15</v>
      </c>
      <c r="I5" s="625">
        <f>H5*8</f>
        <v>120</v>
      </c>
      <c r="J5" s="624"/>
    </row>
    <row r="6" spans="2:12" ht="15.75" thickBot="1" x14ac:dyDescent="0.3">
      <c r="B6" s="652"/>
      <c r="C6" s="687"/>
      <c r="D6" s="687" t="s">
        <v>169</v>
      </c>
      <c r="E6" s="688" t="s">
        <v>170</v>
      </c>
      <c r="F6" s="632"/>
      <c r="G6" s="597" t="s">
        <v>173</v>
      </c>
      <c r="H6" s="625">
        <v>8</v>
      </c>
      <c r="I6" s="625">
        <f>H6*8</f>
        <v>64</v>
      </c>
      <c r="J6" s="624"/>
    </row>
    <row r="7" spans="2:12" x14ac:dyDescent="0.25">
      <c r="B7" s="126" t="s">
        <v>172</v>
      </c>
      <c r="D7" s="277">
        <v>1</v>
      </c>
      <c r="E7" s="135">
        <v>72975</v>
      </c>
      <c r="F7" s="632"/>
      <c r="G7" s="597" t="s">
        <v>174</v>
      </c>
      <c r="H7" s="625">
        <v>11</v>
      </c>
      <c r="I7" s="625">
        <f>H7*8</f>
        <v>88</v>
      </c>
      <c r="J7" s="136" t="s">
        <v>493</v>
      </c>
    </row>
    <row r="8" spans="2:12" x14ac:dyDescent="0.25">
      <c r="B8" s="126" t="s">
        <v>177</v>
      </c>
      <c r="D8" s="218">
        <v>0.8</v>
      </c>
      <c r="E8" s="135">
        <v>63585</v>
      </c>
      <c r="F8" s="632"/>
      <c r="G8" s="597" t="s">
        <v>176</v>
      </c>
      <c r="H8" s="625">
        <v>5</v>
      </c>
      <c r="I8" s="625">
        <f>H8*8</f>
        <v>40</v>
      </c>
      <c r="J8" s="624"/>
    </row>
    <row r="9" spans="2:12" x14ac:dyDescent="0.25">
      <c r="B9" s="137" t="s">
        <v>220</v>
      </c>
      <c r="C9" s="674"/>
      <c r="D9" s="278">
        <v>14.99</v>
      </c>
      <c r="E9" s="275">
        <v>614864</v>
      </c>
      <c r="F9" s="632"/>
      <c r="G9" s="597"/>
      <c r="H9" s="630" t="s">
        <v>161</v>
      </c>
      <c r="I9" s="625">
        <f>SUM(I5:I8)</f>
        <v>312</v>
      </c>
      <c r="J9" s="624"/>
    </row>
    <row r="10" spans="2:12" x14ac:dyDescent="0.25">
      <c r="B10" s="640" t="s">
        <v>187</v>
      </c>
      <c r="C10" s="641"/>
      <c r="D10" s="689">
        <f>SUM(D7:D9)</f>
        <v>16.79</v>
      </c>
      <c r="E10" s="642">
        <f>SUM(E7:E9)</f>
        <v>751424</v>
      </c>
      <c r="F10" s="632"/>
      <c r="G10" s="597"/>
      <c r="H10" s="630" t="s">
        <v>178</v>
      </c>
      <c r="I10" s="631">
        <f>I9/(52*40)</f>
        <v>0.15</v>
      </c>
      <c r="J10" s="624"/>
    </row>
    <row r="11" spans="2:12" x14ac:dyDescent="0.25">
      <c r="B11" s="621" t="s">
        <v>229</v>
      </c>
      <c r="C11" s="643"/>
      <c r="D11" s="626"/>
      <c r="E11" s="629"/>
      <c r="F11" s="632"/>
      <c r="G11" s="391"/>
      <c r="H11" s="632"/>
      <c r="I11" s="632"/>
      <c r="J11" s="624"/>
    </row>
    <row r="12" spans="2:12" x14ac:dyDescent="0.25">
      <c r="B12" s="597" t="s">
        <v>192</v>
      </c>
      <c r="C12" s="644">
        <f>I29</f>
        <v>0.25390000000000001</v>
      </c>
      <c r="D12" s="626"/>
      <c r="E12" s="638">
        <f>E10*C12</f>
        <v>190786.55360000001</v>
      </c>
      <c r="F12" s="632"/>
      <c r="G12" s="812" t="s">
        <v>489</v>
      </c>
      <c r="H12" s="813" t="s">
        <v>226</v>
      </c>
      <c r="I12" s="813"/>
      <c r="J12" s="624"/>
    </row>
    <row r="13" spans="2:12" x14ac:dyDescent="0.25">
      <c r="B13" s="597" t="s">
        <v>483</v>
      </c>
      <c r="C13" s="644">
        <f>C21</f>
        <v>2.7811565914169036E-2</v>
      </c>
      <c r="D13" s="626"/>
      <c r="E13" s="638">
        <f>(E10+E12)*C13</f>
        <v>26204.350916472096</v>
      </c>
      <c r="F13" s="632"/>
      <c r="G13" s="621" t="s">
        <v>172</v>
      </c>
      <c r="H13" s="626"/>
      <c r="I13" s="628"/>
      <c r="J13" s="624"/>
    </row>
    <row r="14" spans="2:12" x14ac:dyDescent="0.25">
      <c r="B14" s="640" t="s">
        <v>194</v>
      </c>
      <c r="C14" s="641"/>
      <c r="D14" s="645"/>
      <c r="E14" s="642">
        <f>SUM(E10:E13)</f>
        <v>968414.90451647213</v>
      </c>
      <c r="F14" s="632"/>
      <c r="G14" s="126" t="s">
        <v>490</v>
      </c>
      <c r="H14" s="647">
        <f>1</f>
        <v>1</v>
      </c>
      <c r="I14" s="628"/>
      <c r="J14" s="594" t="s">
        <v>386</v>
      </c>
    </row>
    <row r="15" spans="2:12" x14ac:dyDescent="0.25">
      <c r="B15" s="597"/>
      <c r="C15" s="626"/>
      <c r="D15" s="646"/>
      <c r="E15" s="638"/>
      <c r="F15" s="632"/>
      <c r="G15" s="621"/>
      <c r="H15" s="647"/>
      <c r="I15" s="628"/>
      <c r="J15" s="594"/>
      <c r="L15" s="120"/>
    </row>
    <row r="16" spans="2:12" x14ac:dyDescent="0.25">
      <c r="B16" s="597" t="s">
        <v>393</v>
      </c>
      <c r="C16" s="626"/>
      <c r="D16" s="646">
        <f>I34</f>
        <v>180.83</v>
      </c>
      <c r="E16" s="638">
        <f>D16*6*52</f>
        <v>56418.96</v>
      </c>
      <c r="F16" s="632"/>
      <c r="G16" s="621" t="s">
        <v>177</v>
      </c>
      <c r="H16" s="626"/>
      <c r="I16" s="628"/>
      <c r="J16" s="624"/>
      <c r="K16" s="120"/>
      <c r="L16" s="120"/>
    </row>
    <row r="17" spans="2:20" x14ac:dyDescent="0.25">
      <c r="B17" s="597" t="s">
        <v>394</v>
      </c>
      <c r="C17" s="626"/>
      <c r="D17" s="646">
        <f>'[28]3072 Therap Grp Care 6 FY24'!J22</f>
        <v>54.786626019606146</v>
      </c>
      <c r="E17" s="638">
        <f>D17*20*52</f>
        <v>56978.091060390398</v>
      </c>
      <c r="F17" s="632"/>
      <c r="G17" s="597" t="s">
        <v>413</v>
      </c>
      <c r="H17" s="647">
        <v>0.25</v>
      </c>
      <c r="J17" s="594" t="s">
        <v>386</v>
      </c>
      <c r="K17" s="120"/>
      <c r="L17" s="120"/>
      <c r="M17" s="120"/>
      <c r="N17" s="120"/>
      <c r="O17" s="120"/>
      <c r="P17" s="120"/>
      <c r="Q17" s="120"/>
    </row>
    <row r="18" spans="2:20" x14ac:dyDescent="0.25">
      <c r="B18" s="597" t="str">
        <f>G31</f>
        <v>Occupancy (per bed day)</v>
      </c>
      <c r="C18" s="626"/>
      <c r="D18" s="646">
        <f>I31</f>
        <v>36.21</v>
      </c>
      <c r="E18" s="638">
        <f>D18*E5</f>
        <v>118949.85</v>
      </c>
      <c r="F18" s="632"/>
      <c r="G18" s="597" t="s">
        <v>388</v>
      </c>
      <c r="H18" s="647">
        <v>0.25</v>
      </c>
      <c r="J18" s="594" t="s">
        <v>386</v>
      </c>
      <c r="K18" s="120"/>
      <c r="L18" s="120"/>
      <c r="M18" s="120"/>
      <c r="N18" s="120"/>
      <c r="O18" s="120"/>
      <c r="P18" s="120"/>
      <c r="Q18" s="120"/>
    </row>
    <row r="19" spans="2:20" x14ac:dyDescent="0.25">
      <c r="B19" s="597" t="s">
        <v>217</v>
      </c>
      <c r="C19" s="626"/>
      <c r="D19" s="646">
        <f>I32</f>
        <v>18.36</v>
      </c>
      <c r="E19" s="638">
        <f>D19*E5</f>
        <v>60312.6</v>
      </c>
      <c r="F19" s="632"/>
      <c r="G19" s="597" t="s">
        <v>414</v>
      </c>
      <c r="H19" s="647">
        <v>0.3</v>
      </c>
      <c r="J19" s="594" t="s">
        <v>386</v>
      </c>
      <c r="L19" s="40" t="s">
        <v>123</v>
      </c>
      <c r="M19" s="120"/>
      <c r="N19" s="120"/>
      <c r="O19" s="120"/>
      <c r="P19" s="120"/>
      <c r="Q19" s="120"/>
    </row>
    <row r="20" spans="2:20" x14ac:dyDescent="0.25">
      <c r="B20" s="640" t="s">
        <v>198</v>
      </c>
      <c r="C20" s="641"/>
      <c r="D20" s="641"/>
      <c r="E20" s="642">
        <f>SUM(E14:E19)</f>
        <v>1261074.4055768626</v>
      </c>
      <c r="F20" s="632"/>
      <c r="G20" s="597"/>
      <c r="H20" s="647"/>
      <c r="J20" s="594"/>
      <c r="K20" s="633"/>
      <c r="L20" s="634" t="s">
        <v>407</v>
      </c>
      <c r="M20" s="634" t="s">
        <v>408</v>
      </c>
      <c r="N20" s="634" t="s">
        <v>409</v>
      </c>
      <c r="O20" s="634" t="s">
        <v>410</v>
      </c>
      <c r="P20" s="634" t="s">
        <v>411</v>
      </c>
      <c r="Q20" s="634" t="s">
        <v>412</v>
      </c>
      <c r="R20" s="634" t="s">
        <v>407</v>
      </c>
    </row>
    <row r="21" spans="2:20" x14ac:dyDescent="0.25">
      <c r="B21" s="597" t="s">
        <v>137</v>
      </c>
      <c r="C21" s="643">
        <f>I35</f>
        <v>2.7811565914169036E-2</v>
      </c>
      <c r="D21" s="626"/>
      <c r="E21" s="629">
        <f>C21*(E16+E17+E18+E19)</f>
        <v>8139.3190041488697</v>
      </c>
      <c r="F21" s="632"/>
      <c r="G21" s="621" t="s">
        <v>121</v>
      </c>
      <c r="J21" s="624"/>
      <c r="K21" s="633" t="s">
        <v>357</v>
      </c>
      <c r="L21" s="636">
        <v>1</v>
      </c>
      <c r="M21" s="636">
        <v>0.5</v>
      </c>
      <c r="N21" s="636">
        <v>0.5</v>
      </c>
      <c r="O21" s="636">
        <v>0.5</v>
      </c>
      <c r="P21" s="636">
        <v>0.5</v>
      </c>
      <c r="Q21" s="636">
        <v>0.5</v>
      </c>
      <c r="R21" s="636">
        <v>1</v>
      </c>
    </row>
    <row r="22" spans="2:20" x14ac:dyDescent="0.25">
      <c r="B22" s="597" t="s">
        <v>199</v>
      </c>
      <c r="C22" s="643">
        <f>I33</f>
        <v>0.12</v>
      </c>
      <c r="D22" s="626"/>
      <c r="E22" s="629">
        <f>(E20-E13)*C22</f>
        <v>148184.40655924685</v>
      </c>
      <c r="F22" s="632"/>
      <c r="G22" s="597" t="s">
        <v>389</v>
      </c>
      <c r="H22" s="647">
        <f>S26</f>
        <v>1.8</v>
      </c>
      <c r="J22" s="594" t="s">
        <v>386</v>
      </c>
      <c r="K22" s="633" t="s">
        <v>358</v>
      </c>
      <c r="L22" s="636">
        <v>1</v>
      </c>
      <c r="M22" s="636">
        <v>0.5</v>
      </c>
      <c r="N22" s="636">
        <v>0.5</v>
      </c>
      <c r="O22" s="636">
        <v>0.5</v>
      </c>
      <c r="P22" s="636">
        <v>0.5</v>
      </c>
      <c r="Q22" s="636">
        <v>0.5</v>
      </c>
      <c r="R22" s="636">
        <v>1</v>
      </c>
    </row>
    <row r="23" spans="2:20" ht="15.75" thickBot="1" x14ac:dyDescent="0.3">
      <c r="B23" s="621" t="s">
        <v>200</v>
      </c>
      <c r="C23" s="626"/>
      <c r="D23" s="626"/>
      <c r="E23" s="651">
        <f>SUM(E20:E22)-0.2</f>
        <v>1417397.9311402584</v>
      </c>
      <c r="F23" s="632"/>
      <c r="G23" s="597" t="s">
        <v>416</v>
      </c>
      <c r="H23" s="647">
        <f>S33</f>
        <v>9.4</v>
      </c>
      <c r="J23" s="594" t="s">
        <v>386</v>
      </c>
      <c r="K23" s="633" t="s">
        <v>360</v>
      </c>
      <c r="L23" s="637">
        <v>0</v>
      </c>
      <c r="M23" s="637">
        <v>0</v>
      </c>
      <c r="N23" s="637">
        <v>0</v>
      </c>
      <c r="O23" s="637">
        <v>0</v>
      </c>
      <c r="P23" s="637">
        <v>0</v>
      </c>
      <c r="Q23" s="637">
        <v>0</v>
      </c>
      <c r="R23" s="637">
        <v>0</v>
      </c>
    </row>
    <row r="24" spans="2:20" ht="16.5" thickTop="1" thickBot="1" x14ac:dyDescent="0.3">
      <c r="B24" s="652" t="s">
        <v>425</v>
      </c>
      <c r="C24" s="654"/>
      <c r="D24" s="653"/>
      <c r="E24" s="655">
        <f>E23/12</f>
        <v>118116.4942616882</v>
      </c>
      <c r="F24" s="632"/>
      <c r="G24" s="597" t="s">
        <v>417</v>
      </c>
      <c r="H24" s="647">
        <v>0.75</v>
      </c>
      <c r="J24" s="594" t="s">
        <v>386</v>
      </c>
      <c r="K24" s="633"/>
      <c r="L24" s="636">
        <f>SUM(L21:L23)</f>
        <v>2</v>
      </c>
      <c r="M24" s="636">
        <f t="shared" ref="M24:R24" si="0">SUM(M21:M23)</f>
        <v>1</v>
      </c>
      <c r="N24" s="636">
        <f t="shared" si="0"/>
        <v>1</v>
      </c>
      <c r="O24" s="636">
        <f t="shared" si="0"/>
        <v>1</v>
      </c>
      <c r="P24" s="636">
        <f t="shared" si="0"/>
        <v>1</v>
      </c>
      <c r="Q24" s="636">
        <f t="shared" si="0"/>
        <v>1</v>
      </c>
      <c r="R24" s="636">
        <f t="shared" si="0"/>
        <v>2</v>
      </c>
      <c r="S24" s="636">
        <f>SUM(L24:R24)</f>
        <v>9</v>
      </c>
    </row>
    <row r="25" spans="2:20" x14ac:dyDescent="0.25">
      <c r="B25" s="657"/>
      <c r="C25" s="658"/>
      <c r="D25" s="659"/>
      <c r="E25" s="660"/>
      <c r="F25" s="632"/>
      <c r="G25" s="597" t="s">
        <v>481</v>
      </c>
      <c r="H25" s="647">
        <v>1</v>
      </c>
      <c r="J25" s="594" t="s">
        <v>386</v>
      </c>
      <c r="K25" s="120"/>
      <c r="L25" s="120"/>
      <c r="M25" s="120"/>
      <c r="N25" s="120"/>
      <c r="O25" s="120"/>
      <c r="P25" s="120"/>
      <c r="Q25" s="120"/>
      <c r="S25" s="51">
        <f>S24*8</f>
        <v>72</v>
      </c>
    </row>
    <row r="26" spans="2:20" x14ac:dyDescent="0.25">
      <c r="B26" s="657"/>
      <c r="C26" s="662"/>
      <c r="D26" s="659"/>
      <c r="E26" s="665"/>
      <c r="F26" s="632"/>
      <c r="G26" s="597" t="s">
        <v>392</v>
      </c>
      <c r="H26" s="647">
        <f>0.25</f>
        <v>0.25</v>
      </c>
      <c r="J26" s="594" t="s">
        <v>386</v>
      </c>
      <c r="L26" s="40" t="s">
        <v>415</v>
      </c>
      <c r="M26" s="120"/>
      <c r="N26" s="120"/>
      <c r="O26" s="120"/>
      <c r="P26" s="120"/>
      <c r="Q26" s="120"/>
      <c r="S26" s="639">
        <f>S25/40</f>
        <v>1.8</v>
      </c>
    </row>
    <row r="27" spans="2:20" x14ac:dyDescent="0.25">
      <c r="B27" s="657"/>
      <c r="C27" s="662"/>
      <c r="D27" s="659"/>
      <c r="E27" s="660"/>
      <c r="F27" s="632"/>
      <c r="G27" s="597" t="s">
        <v>418</v>
      </c>
      <c r="H27" s="647">
        <f>(H23+H24+H22)*I10</f>
        <v>1.7925000000000002</v>
      </c>
      <c r="I27" s="628"/>
      <c r="J27" s="594" t="s">
        <v>386</v>
      </c>
      <c r="K27" s="633"/>
      <c r="L27" s="634" t="s">
        <v>407</v>
      </c>
      <c r="M27" s="634" t="s">
        <v>408</v>
      </c>
      <c r="N27" s="634" t="s">
        <v>409</v>
      </c>
      <c r="O27" s="634" t="s">
        <v>410</v>
      </c>
      <c r="P27" s="634" t="s">
        <v>411</v>
      </c>
      <c r="Q27" s="634" t="s">
        <v>412</v>
      </c>
      <c r="R27" s="634" t="s">
        <v>407</v>
      </c>
    </row>
    <row r="28" spans="2:20" x14ac:dyDescent="0.25">
      <c r="B28" s="632"/>
      <c r="C28" s="632"/>
      <c r="D28" s="632"/>
      <c r="E28" s="632"/>
      <c r="F28" s="632"/>
      <c r="G28" s="1019" t="s">
        <v>206</v>
      </c>
      <c r="H28" s="1020"/>
      <c r="I28" s="1020"/>
      <c r="J28" s="624"/>
      <c r="K28" s="633" t="s">
        <v>357</v>
      </c>
      <c r="L28" s="636">
        <v>2</v>
      </c>
      <c r="M28" s="636">
        <v>2.5</v>
      </c>
      <c r="N28" s="636">
        <v>2.5</v>
      </c>
      <c r="O28" s="636">
        <v>2.5</v>
      </c>
      <c r="P28" s="636">
        <v>2.5</v>
      </c>
      <c r="Q28" s="636">
        <v>2.5</v>
      </c>
      <c r="R28" s="636">
        <v>2</v>
      </c>
    </row>
    <row r="29" spans="2:20" x14ac:dyDescent="0.25">
      <c r="B29" s="632"/>
      <c r="C29" s="632"/>
      <c r="D29" s="664"/>
      <c r="E29" s="665"/>
      <c r="F29" s="632"/>
      <c r="G29" s="597" t="s">
        <v>192</v>
      </c>
      <c r="H29" s="626"/>
      <c r="I29" s="667">
        <f>'[28]3072 Therapeutic Grp Care 6 Bed'!K39</f>
        <v>0.25390000000000001</v>
      </c>
      <c r="J29" s="624" t="str">
        <f>'[28]3072 Therapeutic Grp Care 6 Bed'!L39</f>
        <v>C.257 Benchmark</v>
      </c>
      <c r="K29" s="633" t="s">
        <v>358</v>
      </c>
      <c r="L29" s="636">
        <v>2</v>
      </c>
      <c r="M29" s="636">
        <v>2.5</v>
      </c>
      <c r="N29" s="636">
        <v>2.5</v>
      </c>
      <c r="O29" s="636">
        <v>2.5</v>
      </c>
      <c r="P29" s="636">
        <v>2.5</v>
      </c>
      <c r="Q29" s="636">
        <v>2.5</v>
      </c>
      <c r="R29" s="636">
        <v>2</v>
      </c>
    </row>
    <row r="30" spans="2:20" ht="15.75" thickBot="1" x14ac:dyDescent="0.3">
      <c r="B30" s="632"/>
      <c r="C30" s="632"/>
      <c r="D30" s="632"/>
      <c r="E30" s="668"/>
      <c r="F30" s="632"/>
      <c r="G30" s="597"/>
      <c r="H30" s="626"/>
      <c r="I30" s="643"/>
      <c r="J30" s="624"/>
      <c r="K30" s="633" t="s">
        <v>360</v>
      </c>
      <c r="L30" s="637">
        <v>2</v>
      </c>
      <c r="M30" s="637">
        <v>2</v>
      </c>
      <c r="N30" s="637">
        <v>2</v>
      </c>
      <c r="O30" s="637">
        <v>2</v>
      </c>
      <c r="P30" s="637">
        <v>2</v>
      </c>
      <c r="Q30" s="637">
        <v>2</v>
      </c>
      <c r="R30" s="637">
        <v>2</v>
      </c>
    </row>
    <row r="31" spans="2:20" ht="15.75" thickTop="1" x14ac:dyDescent="0.25">
      <c r="B31" s="632"/>
      <c r="C31" s="632"/>
      <c r="D31" s="632"/>
      <c r="E31" s="668"/>
      <c r="F31" s="632"/>
      <c r="G31" s="597" t="s">
        <v>426</v>
      </c>
      <c r="H31" s="626"/>
      <c r="I31" s="690">
        <v>36.21</v>
      </c>
      <c r="J31" s="624" t="s">
        <v>427</v>
      </c>
      <c r="K31" s="633"/>
      <c r="L31" s="636">
        <f>SUM(L28:L30)</f>
        <v>6</v>
      </c>
      <c r="M31" s="636">
        <f t="shared" ref="M31:R31" si="1">SUM(M28:M30)</f>
        <v>7</v>
      </c>
      <c r="N31" s="636">
        <f t="shared" si="1"/>
        <v>7</v>
      </c>
      <c r="O31" s="636">
        <f t="shared" si="1"/>
        <v>7</v>
      </c>
      <c r="P31" s="636">
        <f t="shared" si="1"/>
        <v>7</v>
      </c>
      <c r="Q31" s="636">
        <f t="shared" si="1"/>
        <v>7</v>
      </c>
      <c r="R31" s="636">
        <f t="shared" si="1"/>
        <v>6</v>
      </c>
      <c r="S31" s="51">
        <f>SUM(L31:R31)</f>
        <v>47</v>
      </c>
      <c r="T31" s="40" t="s">
        <v>419</v>
      </c>
    </row>
    <row r="32" spans="2:20" x14ac:dyDescent="0.25">
      <c r="B32" s="632"/>
      <c r="C32" s="632"/>
      <c r="D32" s="632"/>
      <c r="E32" s="679"/>
      <c r="F32" s="632"/>
      <c r="G32" s="597" t="s">
        <v>217</v>
      </c>
      <c r="H32" s="626"/>
      <c r="I32" s="690">
        <v>18.36</v>
      </c>
      <c r="J32" s="624" t="s">
        <v>428</v>
      </c>
      <c r="K32" s="633"/>
      <c r="L32" s="633"/>
      <c r="M32" s="633"/>
      <c r="N32" s="633"/>
      <c r="O32" s="633"/>
      <c r="P32" s="633"/>
      <c r="Q32" s="633"/>
      <c r="R32" s="633"/>
      <c r="S32" s="51">
        <f>S31*8</f>
        <v>376</v>
      </c>
      <c r="T32" s="40" t="s">
        <v>420</v>
      </c>
    </row>
    <row r="33" spans="2:20" x14ac:dyDescent="0.25">
      <c r="B33" s="632"/>
      <c r="C33" s="680"/>
      <c r="D33" s="632"/>
      <c r="E33" s="632"/>
      <c r="F33" s="632"/>
      <c r="G33" s="597" t="s">
        <v>199</v>
      </c>
      <c r="I33" s="644">
        <v>0.12</v>
      </c>
      <c r="J33" s="624" t="str">
        <f>'[28]3072 Therapeutic Grp Care 6 Bed'!L43</f>
        <v>C.257 Benchmark</v>
      </c>
      <c r="K33" s="633"/>
      <c r="L33" s="633"/>
      <c r="M33" s="633"/>
      <c r="N33" s="633"/>
      <c r="O33" s="633"/>
      <c r="P33" s="633"/>
      <c r="Q33" s="633"/>
      <c r="R33" s="633"/>
      <c r="S33" s="639">
        <f>S32/40</f>
        <v>9.4</v>
      </c>
      <c r="T33" s="40" t="s">
        <v>421</v>
      </c>
    </row>
    <row r="34" spans="2:20" x14ac:dyDescent="0.25">
      <c r="B34" s="632"/>
      <c r="C34" s="632"/>
      <c r="D34" s="632"/>
      <c r="E34" s="632"/>
      <c r="F34" s="632"/>
      <c r="G34" s="597" t="s">
        <v>393</v>
      </c>
      <c r="H34" s="626"/>
      <c r="I34" s="681">
        <f>'[28]3072 Therapeutic Grp Care 6 Bed'!K44</f>
        <v>180.83</v>
      </c>
      <c r="J34" s="594" t="s">
        <v>398</v>
      </c>
      <c r="K34" s="633"/>
      <c r="L34" s="633" t="s">
        <v>422</v>
      </c>
      <c r="M34" s="633"/>
      <c r="N34" s="633"/>
      <c r="O34" s="633"/>
      <c r="P34" s="633"/>
      <c r="Q34" s="633"/>
      <c r="R34" s="633"/>
    </row>
    <row r="35" spans="2:20" ht="15.75" thickBot="1" x14ac:dyDescent="0.3">
      <c r="B35" s="632"/>
      <c r="C35" s="632"/>
      <c r="D35" s="632"/>
      <c r="E35" s="632"/>
      <c r="F35" s="669"/>
      <c r="G35" s="144" t="s">
        <v>214</v>
      </c>
      <c r="H35" s="673"/>
      <c r="I35" s="682">
        <f>'[28]3072 Therapeutic Grp Care 6 Bed'!K45</f>
        <v>2.7811565914169036E-2</v>
      </c>
      <c r="J35" s="613" t="str">
        <f>'[28]3072 Therapeutic Grp Care 6 Bed'!L45</f>
        <v>FY23 &amp; FY24</v>
      </c>
      <c r="K35" s="633"/>
      <c r="L35" s="634" t="s">
        <v>407</v>
      </c>
      <c r="M35" s="634" t="s">
        <v>408</v>
      </c>
      <c r="N35" s="634" t="s">
        <v>409</v>
      </c>
      <c r="O35" s="634" t="s">
        <v>410</v>
      </c>
      <c r="P35" s="634" t="s">
        <v>411</v>
      </c>
      <c r="Q35" s="634" t="s">
        <v>412</v>
      </c>
      <c r="R35" s="634" t="s">
        <v>407</v>
      </c>
    </row>
    <row r="36" spans="2:20" x14ac:dyDescent="0.25">
      <c r="B36" s="632"/>
      <c r="C36" s="632"/>
      <c r="D36" s="632"/>
      <c r="E36" s="632"/>
      <c r="F36" s="677"/>
      <c r="K36" s="633" t="s">
        <v>157</v>
      </c>
      <c r="L36" s="636">
        <v>4</v>
      </c>
      <c r="M36" s="636">
        <v>4</v>
      </c>
      <c r="N36" s="636">
        <v>4</v>
      </c>
      <c r="O36" s="636">
        <v>4</v>
      </c>
      <c r="P36" s="636">
        <v>4</v>
      </c>
      <c r="Q36" s="636">
        <v>4</v>
      </c>
      <c r="R36" s="636">
        <v>4</v>
      </c>
      <c r="S36" s="40">
        <f>SUM(L36:R36)</f>
        <v>28</v>
      </c>
      <c r="T36" s="40" t="s">
        <v>423</v>
      </c>
    </row>
    <row r="37" spans="2:20" ht="40.15" customHeight="1" thickBot="1" x14ac:dyDescent="0.3">
      <c r="F37" s="632"/>
      <c r="K37" s="633"/>
      <c r="L37" s="633"/>
      <c r="M37" s="633"/>
      <c r="N37" s="633"/>
      <c r="O37" s="633"/>
      <c r="P37" s="633"/>
      <c r="Q37" s="633"/>
      <c r="R37" s="633"/>
      <c r="S37" s="650">
        <f>S36/40</f>
        <v>0.7</v>
      </c>
      <c r="T37" s="40" t="s">
        <v>424</v>
      </c>
    </row>
    <row r="38" spans="2:20" ht="15.75" thickBot="1" x14ac:dyDescent="0.3">
      <c r="F38" s="632"/>
      <c r="G38" s="418" t="s">
        <v>309</v>
      </c>
      <c r="H38" s="345"/>
      <c r="I38" s="345"/>
    </row>
    <row r="39" spans="2:20" x14ac:dyDescent="0.25">
      <c r="F39" s="678"/>
      <c r="G39" s="419"/>
      <c r="H39" s="420"/>
      <c r="I39" s="421"/>
    </row>
    <row r="40" spans="2:20" x14ac:dyDescent="0.25">
      <c r="F40" s="632"/>
      <c r="G40" s="422" t="s">
        <v>310</v>
      </c>
      <c r="H40" s="345"/>
      <c r="I40" s="423"/>
    </row>
    <row r="41" spans="2:20" x14ac:dyDescent="0.25">
      <c r="F41" s="632"/>
      <c r="G41" s="422" t="s">
        <v>311</v>
      </c>
      <c r="H41" s="345"/>
      <c r="I41" s="423"/>
    </row>
    <row r="42" spans="2:20" x14ac:dyDescent="0.25">
      <c r="F42" s="632"/>
      <c r="G42" s="422"/>
      <c r="H42" s="345"/>
      <c r="I42" s="423"/>
    </row>
    <row r="43" spans="2:20" ht="15" customHeight="1" x14ac:dyDescent="0.25">
      <c r="F43" s="632"/>
      <c r="G43" s="422"/>
      <c r="H43" s="345"/>
      <c r="I43" s="423"/>
    </row>
    <row r="44" spans="2:20" ht="15.6" customHeight="1" x14ac:dyDescent="0.25">
      <c r="F44" s="632"/>
      <c r="G44" s="422"/>
      <c r="H44" s="345"/>
      <c r="I44" s="423"/>
    </row>
    <row r="45" spans="2:20" x14ac:dyDescent="0.25">
      <c r="F45" s="632"/>
      <c r="G45" s="422"/>
      <c r="H45" s="345"/>
      <c r="I45" s="423"/>
    </row>
    <row r="46" spans="2:20" ht="15.75" thickBot="1" x14ac:dyDescent="0.3">
      <c r="F46" s="632"/>
      <c r="G46" s="424"/>
      <c r="H46" s="425"/>
      <c r="I46" s="426"/>
    </row>
    <row r="47" spans="2:20" x14ac:dyDescent="0.25">
      <c r="F47" s="632"/>
    </row>
    <row r="48" spans="2:20" x14ac:dyDescent="0.25">
      <c r="F48" s="632"/>
    </row>
    <row r="49" spans="6:6" x14ac:dyDescent="0.25">
      <c r="F49" s="632"/>
    </row>
    <row r="50" spans="6:6" x14ac:dyDescent="0.25">
      <c r="F50" s="632"/>
    </row>
    <row r="51" spans="6:6" x14ac:dyDescent="0.25">
      <c r="F51" s="632"/>
    </row>
    <row r="52" spans="6:6" x14ac:dyDescent="0.25">
      <c r="F52" s="632"/>
    </row>
  </sheetData>
  <mergeCells count="3">
    <mergeCell ref="B3:E4"/>
    <mergeCell ref="G3:I3"/>
    <mergeCell ref="G28:I28"/>
  </mergeCells>
  <pageMargins left="0.2" right="0.2" top="0.25" bottom="0.25" header="0.05" footer="0.05"/>
  <pageSetup paperSize="5" scale="6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7AF8-8291-4213-8BCF-98EEEFA8C0C6}">
  <sheetPr>
    <pageSetUpPr fitToPage="1"/>
  </sheetPr>
  <dimension ref="A2:L78"/>
  <sheetViews>
    <sheetView workbookViewId="0">
      <selection activeCell="J47" sqref="J47"/>
    </sheetView>
  </sheetViews>
  <sheetFormatPr defaultColWidth="8.85546875" defaultRowHeight="15" x14ac:dyDescent="0.25"/>
  <cols>
    <col min="1" max="1" width="4.28515625" style="40" customWidth="1"/>
    <col min="2" max="2" width="36.42578125" style="40" customWidth="1"/>
    <col min="3" max="3" width="12.85546875" style="40" customWidth="1"/>
    <col min="4" max="4" width="14.140625" style="40" customWidth="1"/>
    <col min="5" max="5" width="18.85546875" style="40" customWidth="1"/>
    <col min="6" max="6" width="12.28515625" style="40" customWidth="1"/>
    <col min="7" max="7" width="35.7109375" style="40" customWidth="1"/>
    <col min="8" max="8" width="15.140625" style="40" customWidth="1"/>
    <col min="9" max="9" width="13" style="40" customWidth="1"/>
    <col min="10" max="10" width="35.85546875" style="619" customWidth="1"/>
    <col min="11" max="16384" width="8.85546875" style="40"/>
  </cols>
  <sheetData>
    <row r="2" spans="2:10" ht="15.75" thickBot="1" x14ac:dyDescent="0.3">
      <c r="B2" s="617"/>
    </row>
    <row r="3" spans="2:10" x14ac:dyDescent="0.25">
      <c r="B3" s="1011" t="s">
        <v>431</v>
      </c>
      <c r="C3" s="1012"/>
      <c r="D3" s="1012"/>
      <c r="E3" s="1013"/>
      <c r="F3" s="632"/>
      <c r="G3" s="1017" t="s">
        <v>406</v>
      </c>
      <c r="H3" s="1018"/>
      <c r="I3" s="1018"/>
      <c r="J3" s="620"/>
    </row>
    <row r="4" spans="2:10" ht="15.75" thickBot="1" x14ac:dyDescent="0.3">
      <c r="B4" s="1014"/>
      <c r="C4" s="1015"/>
      <c r="D4" s="1015"/>
      <c r="E4" s="1016"/>
      <c r="F4" s="632"/>
      <c r="G4" s="621"/>
      <c r="H4" s="622" t="s">
        <v>156</v>
      </c>
      <c r="I4" s="623" t="s">
        <v>157</v>
      </c>
      <c r="J4" s="624"/>
    </row>
    <row r="5" spans="2:10" ht="15.75" thickBot="1" x14ac:dyDescent="0.3">
      <c r="B5" s="683" t="s">
        <v>165</v>
      </c>
      <c r="C5" s="696">
        <v>12</v>
      </c>
      <c r="D5" s="685" t="s">
        <v>166</v>
      </c>
      <c r="E5" s="686">
        <f>C5*365</f>
        <v>4380</v>
      </c>
      <c r="F5" s="632"/>
      <c r="G5" s="597" t="s">
        <v>171</v>
      </c>
      <c r="H5" s="625">
        <v>15</v>
      </c>
      <c r="I5" s="625">
        <f>H5*8</f>
        <v>120</v>
      </c>
      <c r="J5" s="624"/>
    </row>
    <row r="6" spans="2:10" ht="15.75" thickBot="1" x14ac:dyDescent="0.3">
      <c r="B6" s="652"/>
      <c r="C6" s="687"/>
      <c r="D6" s="687" t="s">
        <v>169</v>
      </c>
      <c r="E6" s="688" t="s">
        <v>170</v>
      </c>
      <c r="F6" s="632"/>
      <c r="G6" s="597" t="s">
        <v>173</v>
      </c>
      <c r="H6" s="625">
        <v>8</v>
      </c>
      <c r="I6" s="625">
        <f>H6*8</f>
        <v>64</v>
      </c>
      <c r="J6" s="624"/>
    </row>
    <row r="7" spans="2:10" x14ac:dyDescent="0.25">
      <c r="B7" s="126" t="s">
        <v>172</v>
      </c>
      <c r="D7" s="277">
        <v>1</v>
      </c>
      <c r="E7" s="135">
        <v>72975</v>
      </c>
      <c r="F7" s="632"/>
      <c r="G7" s="597" t="s">
        <v>174</v>
      </c>
      <c r="H7" s="625">
        <v>11</v>
      </c>
      <c r="I7" s="625">
        <f>H7*8</f>
        <v>88</v>
      </c>
      <c r="J7" s="136" t="s">
        <v>493</v>
      </c>
    </row>
    <row r="8" spans="2:10" x14ac:dyDescent="0.25">
      <c r="B8" s="126" t="s">
        <v>177</v>
      </c>
      <c r="D8" s="218">
        <v>2.13</v>
      </c>
      <c r="E8" s="135">
        <v>165417</v>
      </c>
      <c r="F8" s="632"/>
      <c r="G8" s="597" t="s">
        <v>176</v>
      </c>
      <c r="H8" s="625">
        <v>5</v>
      </c>
      <c r="I8" s="625">
        <f>H8*8</f>
        <v>40</v>
      </c>
      <c r="J8" s="624"/>
    </row>
    <row r="9" spans="2:10" x14ac:dyDescent="0.25">
      <c r="B9" s="137" t="s">
        <v>220</v>
      </c>
      <c r="C9" s="674"/>
      <c r="D9" s="278">
        <v>18.29</v>
      </c>
      <c r="E9" s="275">
        <v>745225</v>
      </c>
      <c r="F9" s="632"/>
      <c r="G9" s="597"/>
      <c r="H9" s="630" t="s">
        <v>161</v>
      </c>
      <c r="I9" s="625">
        <f>SUM(I5:I8)</f>
        <v>312</v>
      </c>
      <c r="J9" s="624"/>
    </row>
    <row r="10" spans="2:10" x14ac:dyDescent="0.25">
      <c r="B10" s="640" t="s">
        <v>187</v>
      </c>
      <c r="C10" s="641"/>
      <c r="D10" s="689">
        <f>SUM(D7:D9)</f>
        <v>21.419999999999998</v>
      </c>
      <c r="E10" s="642">
        <f>SUM(E7:E9)</f>
        <v>983617</v>
      </c>
      <c r="F10" s="632"/>
      <c r="G10" s="597"/>
      <c r="H10" s="630" t="s">
        <v>178</v>
      </c>
      <c r="I10" s="631">
        <f>I9/(52*40)</f>
        <v>0.15</v>
      </c>
      <c r="J10" s="624"/>
    </row>
    <row r="11" spans="2:10" x14ac:dyDescent="0.25">
      <c r="B11" s="597"/>
      <c r="C11" s="626"/>
      <c r="D11" s="627"/>
      <c r="E11" s="594"/>
      <c r="F11" s="632"/>
      <c r="G11" s="391"/>
      <c r="H11" s="632"/>
      <c r="I11" s="632"/>
      <c r="J11" s="624"/>
    </row>
    <row r="12" spans="2:10" x14ac:dyDescent="0.25">
      <c r="B12" s="621" t="s">
        <v>229</v>
      </c>
      <c r="C12" s="643"/>
      <c r="D12" s="626"/>
      <c r="E12" s="629"/>
      <c r="F12" s="632"/>
      <c r="G12" s="812" t="s">
        <v>479</v>
      </c>
      <c r="H12" s="1021" t="s">
        <v>491</v>
      </c>
      <c r="I12" s="1022"/>
      <c r="J12" s="1022"/>
    </row>
    <row r="13" spans="2:10" x14ac:dyDescent="0.25">
      <c r="B13" s="597" t="s">
        <v>192</v>
      </c>
      <c r="C13" s="644">
        <f>I30</f>
        <v>0.25390000000000001</v>
      </c>
      <c r="D13" s="626"/>
      <c r="E13" s="638">
        <f>E10*C13</f>
        <v>249740.35630000001</v>
      </c>
      <c r="F13" s="632"/>
      <c r="G13" s="621" t="s">
        <v>172</v>
      </c>
      <c r="H13" s="626"/>
      <c r="I13" s="628"/>
      <c r="J13" s="624"/>
    </row>
    <row r="14" spans="2:10" x14ac:dyDescent="0.25">
      <c r="B14" s="597" t="s">
        <v>483</v>
      </c>
      <c r="C14" s="644">
        <f>C22</f>
        <v>2.7811565914169036E-2</v>
      </c>
      <c r="D14" s="626"/>
      <c r="E14" s="638">
        <f>(E10+E13)*C14</f>
        <v>34301.599410462717</v>
      </c>
      <c r="F14" s="632"/>
      <c r="G14" s="126" t="s">
        <v>385</v>
      </c>
      <c r="H14" s="647">
        <f>1</f>
        <v>1</v>
      </c>
      <c r="I14" s="628"/>
      <c r="J14" s="594" t="s">
        <v>386</v>
      </c>
    </row>
    <row r="15" spans="2:10" x14ac:dyDescent="0.25">
      <c r="B15" s="640" t="s">
        <v>194</v>
      </c>
      <c r="C15" s="641"/>
      <c r="D15" s="645">
        <f>E15/E5</f>
        <v>289.41985290193213</v>
      </c>
      <c r="E15" s="642">
        <f>SUM(E10:E14)</f>
        <v>1267658.9557104628</v>
      </c>
      <c r="F15" s="632"/>
      <c r="G15" s="621"/>
      <c r="H15" s="626"/>
      <c r="I15" s="628"/>
      <c r="J15" s="594"/>
    </row>
    <row r="16" spans="2:10" x14ac:dyDescent="0.25">
      <c r="B16" s="621"/>
      <c r="C16" s="627"/>
      <c r="D16" s="627" t="s">
        <v>189</v>
      </c>
      <c r="E16" s="651"/>
      <c r="F16" s="632"/>
      <c r="G16" s="621" t="s">
        <v>177</v>
      </c>
      <c r="H16" s="626"/>
      <c r="I16" s="628"/>
      <c r="J16" s="624"/>
    </row>
    <row r="17" spans="2:10" x14ac:dyDescent="0.25">
      <c r="B17" s="597" t="str">
        <f>G35</f>
        <v>Psychiatric Consultation Services</v>
      </c>
      <c r="C17" s="626"/>
      <c r="D17" s="646">
        <f>'[28]3072Therapeutic Grp Care 9 Bed '!F26</f>
        <v>180.83</v>
      </c>
      <c r="E17" s="638">
        <f>D17*8*52</f>
        <v>75225.279999999999</v>
      </c>
      <c r="F17" s="632"/>
      <c r="G17" s="597" t="s">
        <v>413</v>
      </c>
      <c r="H17" s="647">
        <v>0.5</v>
      </c>
      <c r="I17" s="628"/>
      <c r="J17" s="594" t="s">
        <v>386</v>
      </c>
    </row>
    <row r="18" spans="2:10" x14ac:dyDescent="0.25">
      <c r="B18" s="597" t="str">
        <f>G32</f>
        <v>Occupancy (per bed day)</v>
      </c>
      <c r="C18" s="626"/>
      <c r="D18" s="646">
        <f>I32</f>
        <v>36.21</v>
      </c>
      <c r="E18" s="638">
        <f>D18*E5</f>
        <v>158599.80000000002</v>
      </c>
      <c r="F18" s="632"/>
      <c r="G18" s="597" t="s">
        <v>388</v>
      </c>
      <c r="H18" s="647">
        <v>0.5</v>
      </c>
      <c r="I18" s="628"/>
      <c r="J18" s="594" t="s">
        <v>386</v>
      </c>
    </row>
    <row r="19" spans="2:10" x14ac:dyDescent="0.25">
      <c r="B19" s="597" t="s">
        <v>217</v>
      </c>
      <c r="C19" s="626"/>
      <c r="D19" s="646">
        <f>I33</f>
        <v>18.36</v>
      </c>
      <c r="E19" s="638">
        <f>D19*E5</f>
        <v>80416.800000000003</v>
      </c>
      <c r="F19" s="632"/>
      <c r="G19" s="597" t="s">
        <v>414</v>
      </c>
      <c r="H19" s="676">
        <v>0.37500000000000006</v>
      </c>
      <c r="I19" s="675"/>
      <c r="J19" s="594" t="s">
        <v>386</v>
      </c>
    </row>
    <row r="20" spans="2:10" x14ac:dyDescent="0.25">
      <c r="B20" s="597"/>
      <c r="C20" s="626"/>
      <c r="D20" s="691">
        <f>SUM(D17:D19)</f>
        <v>235.40000000000003</v>
      </c>
      <c r="E20" s="594"/>
      <c r="F20" s="632"/>
      <c r="G20" s="597" t="s">
        <v>186</v>
      </c>
      <c r="H20" s="647">
        <v>0.75</v>
      </c>
      <c r="I20" s="628"/>
      <c r="J20" s="594" t="s">
        <v>386</v>
      </c>
    </row>
    <row r="21" spans="2:10" x14ac:dyDescent="0.25">
      <c r="B21" s="640" t="s">
        <v>198</v>
      </c>
      <c r="C21" s="641"/>
      <c r="D21" s="641"/>
      <c r="E21" s="642">
        <f>SUM(E15:E19)</f>
        <v>1581900.8357104629</v>
      </c>
      <c r="F21" s="632"/>
      <c r="G21" s="621" t="s">
        <v>121</v>
      </c>
      <c r="H21" s="626"/>
      <c r="I21" s="628"/>
      <c r="J21" s="594"/>
    </row>
    <row r="22" spans="2:10" x14ac:dyDescent="0.25">
      <c r="B22" s="597" t="s">
        <v>137</v>
      </c>
      <c r="C22" s="643">
        <f>I36</f>
        <v>2.7811565914169036E-2</v>
      </c>
      <c r="D22" s="626"/>
      <c r="E22" s="629">
        <f>(E17+E18+E19)*C22</f>
        <v>8739.5587586123966</v>
      </c>
      <c r="F22" s="632"/>
      <c r="G22" s="597" t="s">
        <v>389</v>
      </c>
      <c r="H22" s="647">
        <v>1.8</v>
      </c>
      <c r="I22" s="628"/>
      <c r="J22" s="594" t="s">
        <v>386</v>
      </c>
    </row>
    <row r="23" spans="2:10" x14ac:dyDescent="0.25">
      <c r="B23" s="597" t="s">
        <v>199</v>
      </c>
      <c r="C23" s="643">
        <f>I34</f>
        <v>0.12</v>
      </c>
      <c r="D23" s="626"/>
      <c r="E23" s="629">
        <f>(E21-E14)*C23</f>
        <v>185711.90835600003</v>
      </c>
      <c r="F23" s="632"/>
      <c r="G23" s="597" t="s">
        <v>416</v>
      </c>
      <c r="H23" s="647">
        <f>11.8</f>
        <v>11.8</v>
      </c>
      <c r="I23" s="628"/>
      <c r="J23" s="594" t="s">
        <v>386</v>
      </c>
    </row>
    <row r="24" spans="2:10" ht="15.75" thickBot="1" x14ac:dyDescent="0.3">
      <c r="B24" s="621" t="s">
        <v>200</v>
      </c>
      <c r="C24" s="626"/>
      <c r="D24" s="626"/>
      <c r="E24" s="651">
        <f>SUM(E21:E23)</f>
        <v>1776352.3028250753</v>
      </c>
      <c r="F24" s="632"/>
      <c r="G24" s="597" t="s">
        <v>417</v>
      </c>
      <c r="H24" s="647">
        <v>1</v>
      </c>
      <c r="I24" s="628"/>
      <c r="J24" s="594" t="s">
        <v>386</v>
      </c>
    </row>
    <row r="25" spans="2:10" ht="15.75" thickBot="1" x14ac:dyDescent="0.3">
      <c r="B25" s="652" t="s">
        <v>432</v>
      </c>
      <c r="C25" s="654"/>
      <c r="D25" s="653"/>
      <c r="E25" s="655">
        <f>E24/12</f>
        <v>148029.35856875629</v>
      </c>
      <c r="F25" s="632"/>
      <c r="G25" s="597" t="s">
        <v>586</v>
      </c>
      <c r="H25" s="647">
        <v>1</v>
      </c>
      <c r="I25" s="628"/>
      <c r="J25" s="594" t="s">
        <v>386</v>
      </c>
    </row>
    <row r="26" spans="2:10" x14ac:dyDescent="0.25">
      <c r="B26" s="657"/>
      <c r="C26" s="658"/>
      <c r="D26" s="659"/>
      <c r="E26" s="660"/>
      <c r="F26" s="632"/>
      <c r="G26" s="597" t="s">
        <v>392</v>
      </c>
      <c r="H26" s="647">
        <v>0.5</v>
      </c>
      <c r="I26" s="628"/>
      <c r="J26" s="594" t="s">
        <v>386</v>
      </c>
    </row>
    <row r="27" spans="2:10" x14ac:dyDescent="0.25">
      <c r="B27" s="657"/>
      <c r="C27" s="662"/>
      <c r="D27" s="659"/>
      <c r="E27" s="665"/>
      <c r="F27" s="632"/>
      <c r="G27" s="597" t="s">
        <v>418</v>
      </c>
      <c r="H27" s="647">
        <f>(H24+H23+H22)*I10</f>
        <v>2.19</v>
      </c>
      <c r="I27" s="628"/>
      <c r="J27" s="594" t="s">
        <v>386</v>
      </c>
    </row>
    <row r="28" spans="2:10" x14ac:dyDescent="0.25">
      <c r="B28" s="657"/>
      <c r="C28" s="662"/>
      <c r="D28" s="659"/>
      <c r="E28" s="660"/>
      <c r="F28" s="632"/>
      <c r="J28" s="624"/>
    </row>
    <row r="29" spans="2:10" x14ac:dyDescent="0.25">
      <c r="B29" s="632"/>
      <c r="C29" s="632"/>
      <c r="D29" s="632"/>
      <c r="E29" s="632"/>
      <c r="F29" s="632"/>
      <c r="G29" s="1019" t="s">
        <v>206</v>
      </c>
      <c r="H29" s="1020"/>
      <c r="I29" s="1020"/>
      <c r="J29" s="624"/>
    </row>
    <row r="30" spans="2:10" x14ac:dyDescent="0.25">
      <c r="B30" s="632"/>
      <c r="C30" s="664"/>
      <c r="D30" s="664"/>
      <c r="E30" s="665"/>
      <c r="F30" s="632"/>
      <c r="G30" s="597" t="s">
        <v>192</v>
      </c>
      <c r="H30" s="626"/>
      <c r="I30" s="667">
        <f>'[28]3072Therapeutic Grp Care 9 Bed '!K43</f>
        <v>0.25390000000000001</v>
      </c>
      <c r="J30" s="624" t="s">
        <v>433</v>
      </c>
    </row>
    <row r="31" spans="2:10" x14ac:dyDescent="0.25">
      <c r="B31" s="632"/>
      <c r="C31" s="664"/>
      <c r="D31" s="664"/>
      <c r="E31" s="665"/>
      <c r="F31" s="632"/>
      <c r="G31" s="597"/>
      <c r="H31" s="626"/>
      <c r="I31" s="643"/>
      <c r="J31" s="624"/>
    </row>
    <row r="32" spans="2:10" x14ac:dyDescent="0.25">
      <c r="B32" s="632"/>
      <c r="C32" s="664"/>
      <c r="D32" s="664"/>
      <c r="E32" s="665"/>
      <c r="F32" s="632"/>
      <c r="G32" s="597" t="s">
        <v>426</v>
      </c>
      <c r="H32" s="626"/>
      <c r="I32" s="690">
        <v>36.21</v>
      </c>
      <c r="J32" s="624" t="s">
        <v>427</v>
      </c>
    </row>
    <row r="33" spans="2:12" x14ac:dyDescent="0.25">
      <c r="B33" s="632"/>
      <c r="C33" s="664"/>
      <c r="D33" s="664"/>
      <c r="E33" s="665"/>
      <c r="F33" s="632"/>
      <c r="G33" s="597" t="s">
        <v>217</v>
      </c>
      <c r="H33" s="626"/>
      <c r="I33" s="690">
        <v>18.36</v>
      </c>
      <c r="J33" s="624" t="s">
        <v>428</v>
      </c>
    </row>
    <row r="34" spans="2:12" x14ac:dyDescent="0.25">
      <c r="B34" s="632"/>
      <c r="C34" s="664"/>
      <c r="D34" s="664"/>
      <c r="E34" s="664"/>
      <c r="F34" s="632"/>
      <c r="G34" s="597" t="s">
        <v>199</v>
      </c>
      <c r="I34" s="644">
        <v>0.12</v>
      </c>
      <c r="J34" s="624" t="str">
        <f>'[28]3072Therapeutic Grp Care 9 Bed '!L47</f>
        <v>C.257 Benchmark</v>
      </c>
    </row>
    <row r="35" spans="2:12" x14ac:dyDescent="0.25">
      <c r="B35" s="632"/>
      <c r="C35" s="664"/>
      <c r="D35" s="664"/>
      <c r="E35" s="664"/>
      <c r="F35" s="632"/>
      <c r="G35" s="597" t="s">
        <v>393</v>
      </c>
      <c r="H35" s="626"/>
      <c r="I35" s="681">
        <f>'[28]3072Therapeutic Grp Care 9 Bed '!K48</f>
        <v>180.83</v>
      </c>
      <c r="J35" s="594" t="s">
        <v>398</v>
      </c>
    </row>
    <row r="36" spans="2:12" ht="15.75" thickBot="1" x14ac:dyDescent="0.3">
      <c r="B36" s="632"/>
      <c r="C36" s="664"/>
      <c r="D36" s="664"/>
      <c r="E36" s="664"/>
      <c r="F36" s="632"/>
      <c r="G36" s="144" t="s">
        <v>137</v>
      </c>
      <c r="H36" s="673"/>
      <c r="I36" s="682">
        <f>'[28]3072Therapeutic Grp Care 9 Bed '!K49</f>
        <v>2.7811565914169036E-2</v>
      </c>
      <c r="J36" s="613" t="str">
        <f>'[28]3072Therapeutic Grp Care 9 Bed '!L49</f>
        <v>FY23 &amp; FY24</v>
      </c>
      <c r="L36" s="692"/>
    </row>
    <row r="37" spans="2:12" x14ac:dyDescent="0.25">
      <c r="B37" s="632"/>
      <c r="F37" s="632"/>
    </row>
    <row r="38" spans="2:12" x14ac:dyDescent="0.25">
      <c r="B38" s="632"/>
      <c r="F38" s="669"/>
    </row>
    <row r="39" spans="2:12" ht="14.25" customHeight="1" x14ac:dyDescent="0.25">
      <c r="B39" s="120"/>
      <c r="C39" s="120"/>
      <c r="D39" s="120"/>
      <c r="E39" s="120"/>
      <c r="F39" s="693"/>
    </row>
    <row r="40" spans="2:12" ht="20.25" customHeight="1" x14ac:dyDescent="0.25">
      <c r="B40" s="634"/>
      <c r="C40" s="634"/>
      <c r="D40" s="634"/>
      <c r="E40" s="634"/>
      <c r="F40" s="632"/>
    </row>
    <row r="41" spans="2:12" x14ac:dyDescent="0.25">
      <c r="B41" s="636"/>
      <c r="C41" s="636"/>
      <c r="D41" s="636"/>
      <c r="E41" s="636"/>
      <c r="F41" s="632"/>
    </row>
    <row r="42" spans="2:12" x14ac:dyDescent="0.25">
      <c r="B42" s="636"/>
      <c r="C42" s="636"/>
      <c r="D42" s="636"/>
      <c r="E42" s="636"/>
      <c r="F42" s="694"/>
    </row>
    <row r="43" spans="2:12" x14ac:dyDescent="0.25">
      <c r="B43" s="636"/>
      <c r="C43" s="636"/>
      <c r="D43" s="636"/>
      <c r="E43" s="636"/>
      <c r="F43" s="632"/>
      <c r="I43" s="695"/>
    </row>
    <row r="44" spans="2:12" x14ac:dyDescent="0.25">
      <c r="B44" s="636"/>
      <c r="C44" s="636"/>
      <c r="D44" s="636"/>
      <c r="E44" s="636"/>
      <c r="F44" s="632"/>
      <c r="G44" s="636"/>
    </row>
    <row r="45" spans="2:12" x14ac:dyDescent="0.25">
      <c r="B45" s="120"/>
      <c r="C45" s="120"/>
      <c r="D45" s="120"/>
      <c r="E45" s="120"/>
      <c r="F45" s="632"/>
      <c r="G45" s="51"/>
    </row>
    <row r="46" spans="2:12" x14ac:dyDescent="0.25">
      <c r="B46" s="120"/>
      <c r="C46" s="120"/>
      <c r="D46" s="120"/>
      <c r="E46" s="120"/>
      <c r="F46" s="632"/>
      <c r="G46" s="639"/>
    </row>
    <row r="47" spans="2:12" x14ac:dyDescent="0.25">
      <c r="B47" s="634"/>
      <c r="C47" s="634"/>
      <c r="D47" s="634"/>
      <c r="E47" s="634"/>
      <c r="F47" s="632"/>
    </row>
    <row r="48" spans="2:12" x14ac:dyDescent="0.25">
      <c r="B48" s="636"/>
      <c r="C48" s="636"/>
      <c r="D48" s="636"/>
      <c r="E48" s="636"/>
      <c r="F48" s="632"/>
    </row>
    <row r="49" spans="1:7" x14ac:dyDescent="0.25">
      <c r="B49" s="636"/>
      <c r="C49" s="636"/>
      <c r="D49" s="636"/>
      <c r="E49" s="636"/>
      <c r="F49" s="632"/>
    </row>
    <row r="50" spans="1:7" x14ac:dyDescent="0.25">
      <c r="B50" s="636"/>
      <c r="C50" s="636"/>
      <c r="D50" s="636"/>
      <c r="E50" s="636"/>
      <c r="F50" s="632"/>
    </row>
    <row r="51" spans="1:7" x14ac:dyDescent="0.25">
      <c r="B51" s="636"/>
      <c r="C51" s="636"/>
      <c r="D51" s="636"/>
      <c r="E51" s="636"/>
      <c r="F51" s="632"/>
      <c r="G51" s="51"/>
    </row>
    <row r="52" spans="1:7" hidden="1" x14ac:dyDescent="0.25">
      <c r="B52" s="633"/>
      <c r="C52" s="633"/>
      <c r="D52" s="633"/>
      <c r="E52" s="633"/>
      <c r="F52" s="634" t="s">
        <v>407</v>
      </c>
      <c r="G52" s="51"/>
    </row>
    <row r="53" spans="1:7" hidden="1" x14ac:dyDescent="0.25">
      <c r="A53" s="633"/>
      <c r="B53" s="633"/>
      <c r="C53" s="633"/>
      <c r="D53" s="633"/>
      <c r="E53" s="633"/>
      <c r="F53" s="636">
        <v>1</v>
      </c>
      <c r="G53" s="639"/>
    </row>
    <row r="54" spans="1:7" hidden="1" x14ac:dyDescent="0.25">
      <c r="A54" s="633" t="s">
        <v>357</v>
      </c>
      <c r="B54" s="633"/>
      <c r="C54" s="633"/>
      <c r="D54" s="633"/>
      <c r="E54" s="633"/>
      <c r="F54" s="636">
        <v>1</v>
      </c>
    </row>
    <row r="55" spans="1:7" hidden="1" x14ac:dyDescent="0.25">
      <c r="A55" s="633" t="s">
        <v>358</v>
      </c>
      <c r="B55" s="634" t="s">
        <v>408</v>
      </c>
      <c r="C55" s="634" t="s">
        <v>410</v>
      </c>
      <c r="D55" s="634" t="s">
        <v>411</v>
      </c>
      <c r="E55" s="634" t="s">
        <v>412</v>
      </c>
      <c r="F55" s="636">
        <v>0</v>
      </c>
    </row>
    <row r="56" spans="1:7" hidden="1" x14ac:dyDescent="0.25">
      <c r="A56" s="633" t="s">
        <v>360</v>
      </c>
      <c r="B56" s="636">
        <v>5.5</v>
      </c>
      <c r="C56" s="636">
        <v>5.5</v>
      </c>
      <c r="D56" s="636">
        <v>5.5</v>
      </c>
      <c r="E56" s="636">
        <v>6</v>
      </c>
      <c r="F56" s="636">
        <f t="shared" ref="F56" si="0">SUM(F53:F55)</f>
        <v>2</v>
      </c>
    </row>
    <row r="57" spans="1:7" hidden="1" x14ac:dyDescent="0.25">
      <c r="A57" s="633"/>
      <c r="B57" s="633"/>
      <c r="C57" s="633"/>
      <c r="D57" s="633"/>
      <c r="E57" s="633"/>
      <c r="G57" s="650"/>
    </row>
    <row r="58" spans="1:7" hidden="1" x14ac:dyDescent="0.25">
      <c r="A58" s="120"/>
      <c r="B58" s="634"/>
      <c r="C58" s="634"/>
      <c r="D58" s="634"/>
      <c r="E58" s="634"/>
    </row>
    <row r="59" spans="1:7" hidden="1" x14ac:dyDescent="0.25">
      <c r="F59" s="634" t="s">
        <v>407</v>
      </c>
    </row>
    <row r="60" spans="1:7" hidden="1" x14ac:dyDescent="0.25">
      <c r="A60" s="633"/>
      <c r="F60" s="636">
        <v>2</v>
      </c>
    </row>
    <row r="61" spans="1:7" hidden="1" x14ac:dyDescent="0.25">
      <c r="A61" s="633" t="s">
        <v>357</v>
      </c>
      <c r="F61" s="636">
        <v>2</v>
      </c>
    </row>
    <row r="62" spans="1:7" hidden="1" x14ac:dyDescent="0.25">
      <c r="A62" s="633" t="s">
        <v>358</v>
      </c>
      <c r="F62" s="636">
        <v>2</v>
      </c>
    </row>
    <row r="63" spans="1:7" hidden="1" x14ac:dyDescent="0.25">
      <c r="A63" s="633" t="s">
        <v>360</v>
      </c>
      <c r="F63" s="636">
        <f t="shared" ref="F63" si="1">SUM(F60:F62)</f>
        <v>6</v>
      </c>
    </row>
    <row r="64" spans="1:7" hidden="1" x14ac:dyDescent="0.25">
      <c r="A64" s="633"/>
      <c r="F64" s="633"/>
    </row>
    <row r="65" spans="1:9" hidden="1" x14ac:dyDescent="0.25">
      <c r="A65" s="633"/>
      <c r="F65" s="633"/>
    </row>
    <row r="66" spans="1:9" ht="15.75" hidden="1" thickBot="1" x14ac:dyDescent="0.3">
      <c r="A66" s="633"/>
      <c r="F66" s="633"/>
      <c r="G66" s="418"/>
      <c r="H66" s="345"/>
      <c r="I66" s="345"/>
    </row>
    <row r="67" spans="1:9" hidden="1" x14ac:dyDescent="0.25">
      <c r="A67" s="633"/>
      <c r="F67" s="634" t="s">
        <v>407</v>
      </c>
      <c r="G67" s="419"/>
      <c r="H67" s="420"/>
      <c r="I67" s="421"/>
    </row>
    <row r="68" spans="1:9" hidden="1" x14ac:dyDescent="0.25">
      <c r="A68" s="633"/>
      <c r="F68" s="636">
        <v>6</v>
      </c>
      <c r="G68" s="422"/>
      <c r="H68" s="345"/>
      <c r="I68" s="423"/>
    </row>
    <row r="69" spans="1:9" hidden="1" x14ac:dyDescent="0.25">
      <c r="A69" s="633" t="s">
        <v>157</v>
      </c>
      <c r="F69" s="633"/>
      <c r="G69" s="422"/>
      <c r="H69" s="345"/>
      <c r="I69" s="423"/>
    </row>
    <row r="70" spans="1:9" hidden="1" x14ac:dyDescent="0.25">
      <c r="A70" s="633"/>
      <c r="F70" s="634"/>
      <c r="G70" s="422"/>
      <c r="H70" s="345"/>
      <c r="I70" s="423"/>
    </row>
    <row r="71" spans="1:9" hidden="1" x14ac:dyDescent="0.25">
      <c r="G71" s="422"/>
      <c r="H71" s="345"/>
      <c r="I71" s="423"/>
    </row>
    <row r="72" spans="1:9" hidden="1" x14ac:dyDescent="0.25">
      <c r="A72" s="633"/>
      <c r="G72" s="422"/>
      <c r="H72" s="345"/>
      <c r="I72" s="423"/>
    </row>
    <row r="73" spans="1:9" hidden="1" x14ac:dyDescent="0.25">
      <c r="A73" s="633"/>
      <c r="G73" s="422"/>
      <c r="H73" s="345"/>
      <c r="I73" s="423"/>
    </row>
    <row r="74" spans="1:9" ht="15.75" hidden="1" thickBot="1" x14ac:dyDescent="0.3">
      <c r="A74" s="633"/>
      <c r="G74" s="424"/>
      <c r="H74" s="425"/>
      <c r="I74" s="426"/>
    </row>
    <row r="75" spans="1:9" hidden="1" x14ac:dyDescent="0.25"/>
    <row r="76" spans="1:9" hidden="1" x14ac:dyDescent="0.25"/>
    <row r="77" spans="1:9" hidden="1" x14ac:dyDescent="0.25"/>
    <row r="78" spans="1:9" hidden="1" x14ac:dyDescent="0.25"/>
  </sheetData>
  <mergeCells count="4">
    <mergeCell ref="B3:E4"/>
    <mergeCell ref="G3:I3"/>
    <mergeCell ref="H12:J12"/>
    <mergeCell ref="G29:I29"/>
  </mergeCells>
  <pageMargins left="0.2" right="0.2" top="0.2" bottom="0.2" header="0" footer="0"/>
  <pageSetup paperSize="5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9FB5-682E-4926-B5FE-923FA164EA9A}">
  <sheetPr>
    <tabColor rgb="FFFF0000"/>
    <pageSetUpPr fitToPage="1"/>
  </sheetPr>
  <dimension ref="B3:Z34"/>
  <sheetViews>
    <sheetView zoomScale="110" zoomScaleNormal="110" workbookViewId="0">
      <selection activeCell="O9" sqref="O9"/>
    </sheetView>
  </sheetViews>
  <sheetFormatPr defaultColWidth="8.85546875" defaultRowHeight="15.6" customHeight="1" x14ac:dyDescent="0.25"/>
  <cols>
    <col min="1" max="1" width="8.85546875" style="40"/>
    <col min="2" max="2" width="27.7109375" style="40" customWidth="1"/>
    <col min="3" max="3" width="15.42578125" style="40" customWidth="1"/>
    <col min="4" max="4" width="9.85546875" style="40" bestFit="1" customWidth="1"/>
    <col min="5" max="5" width="16.28515625" style="40" bestFit="1" customWidth="1"/>
    <col min="6" max="6" width="13.7109375" style="40" customWidth="1"/>
    <col min="7" max="7" width="9" style="40" customWidth="1"/>
    <col min="8" max="8" width="12.5703125" style="40" customWidth="1"/>
    <col min="9" max="9" width="11.140625" style="40" customWidth="1"/>
    <col min="10" max="10" width="11" style="40" customWidth="1"/>
    <col min="11" max="11" width="10.7109375" style="40" customWidth="1"/>
    <col min="12" max="12" width="10.85546875" style="40" customWidth="1"/>
    <col min="13" max="13" width="8.42578125" style="40" customWidth="1"/>
    <col min="14" max="14" width="9.85546875" style="40" customWidth="1"/>
    <col min="15" max="15" width="12.140625" style="40" customWidth="1"/>
    <col min="16" max="16" width="14.28515625" style="40" customWidth="1"/>
    <col min="17" max="17" width="21.7109375" style="40" customWidth="1"/>
    <col min="18" max="18" width="10.85546875" style="40" customWidth="1"/>
    <col min="19" max="19" width="10.5703125" style="40" bestFit="1" customWidth="1"/>
    <col min="20" max="20" width="5.85546875" style="619" hidden="1" customWidth="1"/>
    <col min="21" max="21" width="30.140625" style="40" bestFit="1" customWidth="1"/>
    <col min="22" max="22" width="11.42578125" style="40" customWidth="1"/>
    <col min="23" max="23" width="11" style="40" customWidth="1"/>
    <col min="24" max="24" width="8.28515625" style="40" customWidth="1"/>
    <col min="25" max="16384" width="8.85546875" style="40"/>
  </cols>
  <sheetData>
    <row r="3" spans="2:26" ht="15.6" customHeight="1" thickBot="1" x14ac:dyDescent="0.3">
      <c r="B3" s="617"/>
    </row>
    <row r="4" spans="2:26" ht="31.5" customHeight="1" thickBot="1" x14ac:dyDescent="0.3">
      <c r="B4" s="1027" t="s">
        <v>434</v>
      </c>
      <c r="C4" s="1028"/>
      <c r="D4" s="1028"/>
      <c r="E4" s="1028"/>
      <c r="F4" s="1029"/>
      <c r="G4" s="618"/>
      <c r="H4" s="1033" t="s">
        <v>435</v>
      </c>
      <c r="I4" s="1034"/>
      <c r="J4" s="697"/>
      <c r="K4" s="1037" t="s">
        <v>436</v>
      </c>
      <c r="L4" s="1038"/>
      <c r="M4" s="697"/>
      <c r="N4" s="1041" t="s">
        <v>437</v>
      </c>
      <c r="O4" s="1042"/>
      <c r="P4" s="618"/>
      <c r="Q4" s="1045" t="s">
        <v>406</v>
      </c>
      <c r="R4" s="1046"/>
      <c r="S4" s="1047"/>
      <c r="U4" s="1023" t="s">
        <v>298</v>
      </c>
      <c r="V4" s="1024"/>
      <c r="W4" s="1024"/>
      <c r="X4" s="1025"/>
    </row>
    <row r="5" spans="2:26" ht="15.6" customHeight="1" thickBot="1" x14ac:dyDescent="0.3">
      <c r="B5" s="1030"/>
      <c r="C5" s="1031"/>
      <c r="D5" s="1031"/>
      <c r="E5" s="1031"/>
      <c r="F5" s="1032"/>
      <c r="G5" s="618"/>
      <c r="H5" s="1035"/>
      <c r="I5" s="1036"/>
      <c r="J5" s="697"/>
      <c r="K5" s="1039"/>
      <c r="L5" s="1040"/>
      <c r="M5" s="697"/>
      <c r="N5" s="1043"/>
      <c r="O5" s="1044"/>
      <c r="P5" s="618"/>
      <c r="Q5" s="621"/>
      <c r="R5" s="622" t="s">
        <v>156</v>
      </c>
      <c r="S5" s="698" t="s">
        <v>157</v>
      </c>
      <c r="U5" s="621"/>
      <c r="V5" s="893" t="s">
        <v>438</v>
      </c>
      <c r="W5" s="894" t="s">
        <v>439</v>
      </c>
      <c r="X5" s="699" t="s">
        <v>437</v>
      </c>
    </row>
    <row r="6" spans="2:26" ht="15.6" customHeight="1" thickBot="1" x14ac:dyDescent="0.3">
      <c r="B6" s="700" t="s">
        <v>165</v>
      </c>
      <c r="C6" s="701">
        <v>6</v>
      </c>
      <c r="D6" s="702"/>
      <c r="E6" s="702" t="s">
        <v>166</v>
      </c>
      <c r="F6" s="703">
        <f>C6*365</f>
        <v>2190</v>
      </c>
      <c r="G6" s="618"/>
      <c r="H6" s="704" t="s">
        <v>440</v>
      </c>
      <c r="I6" s="705">
        <v>1</v>
      </c>
      <c r="J6" s="618"/>
      <c r="K6" s="706" t="s">
        <v>440</v>
      </c>
      <c r="L6" s="707">
        <v>1</v>
      </c>
      <c r="M6" s="618"/>
      <c r="N6" s="706" t="s">
        <v>441</v>
      </c>
      <c r="O6" s="707">
        <v>1</v>
      </c>
      <c r="P6" s="618"/>
      <c r="Q6" s="597" t="s">
        <v>171</v>
      </c>
      <c r="R6" s="625">
        <v>15</v>
      </c>
      <c r="S6" s="708">
        <f>R6*8</f>
        <v>120</v>
      </c>
      <c r="U6" s="709" t="s">
        <v>442</v>
      </c>
      <c r="V6" s="710">
        <v>1.3</v>
      </c>
      <c r="W6" s="711">
        <f>0.4/7</f>
        <v>5.7142857142857148E-2</v>
      </c>
      <c r="X6" s="712">
        <f>0.2/17</f>
        <v>1.1764705882352941E-2</v>
      </c>
    </row>
    <row r="7" spans="2:26" ht="15.6" customHeight="1" thickBot="1" x14ac:dyDescent="0.3">
      <c r="B7" s="713"/>
      <c r="C7" s="618"/>
      <c r="D7" s="618"/>
      <c r="E7" s="618"/>
      <c r="F7" s="714"/>
      <c r="G7" s="618"/>
      <c r="H7" s="706" t="s">
        <v>443</v>
      </c>
      <c r="I7" s="707">
        <v>365</v>
      </c>
      <c r="J7" s="618"/>
      <c r="K7" s="706" t="s">
        <v>443</v>
      </c>
      <c r="L7" s="707">
        <v>365</v>
      </c>
      <c r="M7" s="618"/>
      <c r="N7" s="706" t="s">
        <v>156</v>
      </c>
      <c r="O7" s="707">
        <v>365</v>
      </c>
      <c r="P7" s="618"/>
      <c r="Q7" s="597" t="s">
        <v>173</v>
      </c>
      <c r="R7" s="625">
        <v>8</v>
      </c>
      <c r="S7" s="708">
        <f>R7*8</f>
        <v>64</v>
      </c>
      <c r="U7" s="709" t="s">
        <v>413</v>
      </c>
      <c r="V7" s="710">
        <v>0.5</v>
      </c>
      <c r="W7" s="711">
        <f>1.3/7</f>
        <v>0.18571428571428572</v>
      </c>
      <c r="X7" s="712">
        <f>1.3/17</f>
        <v>7.6470588235294124E-2</v>
      </c>
    </row>
    <row r="8" spans="2:26" ht="15.6" customHeight="1" x14ac:dyDescent="0.25">
      <c r="B8" s="715"/>
      <c r="C8" s="716"/>
      <c r="D8" s="717"/>
      <c r="E8" s="717"/>
      <c r="F8" s="718" t="s">
        <v>170</v>
      </c>
      <c r="G8" s="618"/>
      <c r="H8" s="719"/>
      <c r="I8" s="720"/>
      <c r="J8" s="618"/>
      <c r="K8" s="713"/>
      <c r="L8" s="714"/>
      <c r="M8" s="618"/>
      <c r="N8" s="713"/>
      <c r="O8" s="714"/>
      <c r="P8" s="618"/>
      <c r="Q8" s="597" t="s">
        <v>494</v>
      </c>
      <c r="R8" s="625">
        <v>11</v>
      </c>
      <c r="S8" s="708">
        <f>R8*8</f>
        <v>88</v>
      </c>
      <c r="U8" s="709" t="s">
        <v>414</v>
      </c>
      <c r="V8" s="710">
        <v>0.12</v>
      </c>
      <c r="W8" s="711">
        <f>0.1/7</f>
        <v>1.4285714285714287E-2</v>
      </c>
      <c r="X8" s="721"/>
    </row>
    <row r="9" spans="2:26" ht="15.6" customHeight="1" x14ac:dyDescent="0.25">
      <c r="B9" s="713" t="s">
        <v>444</v>
      </c>
      <c r="C9" s="618"/>
      <c r="D9" s="722"/>
      <c r="E9" s="722"/>
      <c r="F9" s="723">
        <v>94867</v>
      </c>
      <c r="G9" s="656"/>
      <c r="H9" s="724"/>
      <c r="I9" s="725">
        <v>4170</v>
      </c>
      <c r="J9" s="726"/>
      <c r="K9" s="727"/>
      <c r="L9" s="725">
        <v>4170</v>
      </c>
      <c r="M9" s="728"/>
      <c r="N9" s="727"/>
      <c r="O9" s="725">
        <v>859</v>
      </c>
      <c r="P9" s="618"/>
      <c r="Q9" s="729" t="s">
        <v>176</v>
      </c>
      <c r="R9" s="730">
        <v>5</v>
      </c>
      <c r="S9" s="731">
        <f>R9*8</f>
        <v>40</v>
      </c>
      <c r="U9" s="709" t="s">
        <v>186</v>
      </c>
      <c r="V9" s="710">
        <v>0.25</v>
      </c>
      <c r="W9" s="732">
        <v>0.05</v>
      </c>
      <c r="X9" s="721"/>
    </row>
    <row r="10" spans="2:26" ht="15.6" customHeight="1" x14ac:dyDescent="0.25">
      <c r="B10" s="713" t="s">
        <v>339</v>
      </c>
      <c r="C10" s="618"/>
      <c r="D10" s="733"/>
      <c r="E10" s="734"/>
      <c r="F10" s="735">
        <v>68442</v>
      </c>
      <c r="G10" s="656"/>
      <c r="H10" s="736"/>
      <c r="I10" s="725">
        <v>19008</v>
      </c>
      <c r="J10" s="726"/>
      <c r="K10" s="727"/>
      <c r="L10" s="725"/>
      <c r="M10" s="728"/>
      <c r="N10" s="727"/>
      <c r="O10" s="725">
        <v>5595</v>
      </c>
      <c r="P10" s="618"/>
      <c r="Q10" s="597"/>
      <c r="R10" s="630" t="s">
        <v>161</v>
      </c>
      <c r="S10" s="708">
        <f>SUM(S6:S9)</f>
        <v>312</v>
      </c>
      <c r="U10" s="709" t="s">
        <v>445</v>
      </c>
      <c r="V10" s="710">
        <v>7</v>
      </c>
      <c r="W10" s="732"/>
      <c r="X10" s="721"/>
      <c r="Z10" s="737"/>
    </row>
    <row r="11" spans="2:26" ht="15.6" customHeight="1" thickBot="1" x14ac:dyDescent="0.3">
      <c r="B11" s="713" t="s">
        <v>340</v>
      </c>
      <c r="C11" s="618"/>
      <c r="D11" s="618"/>
      <c r="E11" s="618"/>
      <c r="F11" s="725">
        <v>435402</v>
      </c>
      <c r="G11" s="656"/>
      <c r="H11" s="736"/>
      <c r="I11" s="725">
        <v>12616</v>
      </c>
      <c r="J11" s="726"/>
      <c r="K11" s="727"/>
      <c r="L11" s="725"/>
      <c r="M11" s="728"/>
      <c r="N11" s="727"/>
      <c r="O11" s="725">
        <v>9052</v>
      </c>
      <c r="P11" s="618"/>
      <c r="Q11" s="738"/>
      <c r="R11" s="739" t="s">
        <v>178</v>
      </c>
      <c r="S11" s="740">
        <f>S10/(52*40)</f>
        <v>0.15</v>
      </c>
      <c r="U11" s="709" t="s">
        <v>446</v>
      </c>
      <c r="V11" s="710">
        <v>0.5</v>
      </c>
      <c r="W11" s="732">
        <v>0.05</v>
      </c>
      <c r="X11" s="741">
        <v>0.05</v>
      </c>
      <c r="Z11" s="737"/>
    </row>
    <row r="12" spans="2:26" ht="15.6" customHeight="1" x14ac:dyDescent="0.25">
      <c r="B12" s="713" t="s">
        <v>192</v>
      </c>
      <c r="C12" s="618"/>
      <c r="D12" s="618"/>
      <c r="E12" s="742">
        <f>S12</f>
        <v>0.25390000000000001</v>
      </c>
      <c r="F12" s="725">
        <f>SUM(F9:F11)*E12</f>
        <v>152012.72290000002</v>
      </c>
      <c r="G12" s="656"/>
      <c r="H12" s="736"/>
      <c r="I12" s="725">
        <f>SUM(I9:I11)*E12</f>
        <v>9088.0966000000008</v>
      </c>
      <c r="J12" s="726"/>
      <c r="K12" s="727"/>
      <c r="L12" s="725">
        <f>L9*E12</f>
        <v>1058.7630000000001</v>
      </c>
      <c r="M12" s="728"/>
      <c r="N12" s="727"/>
      <c r="O12" s="725">
        <f>SUM(O9:O11)*E12</f>
        <v>3936.9734000000003</v>
      </c>
      <c r="P12" s="618"/>
      <c r="Q12" s="597" t="s">
        <v>192</v>
      </c>
      <c r="R12" s="626"/>
      <c r="S12" s="743">
        <v>0.25390000000000001</v>
      </c>
      <c r="U12" s="709" t="s">
        <v>447</v>
      </c>
      <c r="V12" s="744"/>
      <c r="W12" s="732"/>
      <c r="X12" s="712">
        <v>0.12</v>
      </c>
    </row>
    <row r="13" spans="2:26" ht="15.6" customHeight="1" thickBot="1" x14ac:dyDescent="0.3">
      <c r="B13" s="713" t="s">
        <v>448</v>
      </c>
      <c r="C13" s="618"/>
      <c r="D13" s="618"/>
      <c r="E13" s="742">
        <f>S19</f>
        <v>2.7811565914169036E-2</v>
      </c>
      <c r="F13" s="725">
        <f>SUM(F9:F12)*E13</f>
        <v>20878.802302763721</v>
      </c>
      <c r="G13" s="656"/>
      <c r="H13" s="736"/>
      <c r="I13" s="725">
        <f>SUM(I9:I12)*E13</f>
        <v>1248.2413879570022</v>
      </c>
      <c r="J13" s="726"/>
      <c r="K13" s="727"/>
      <c r="L13" s="725">
        <f>SUM(L9:L12)*E13</f>
        <v>145.42008682406822</v>
      </c>
      <c r="M13" s="728"/>
      <c r="N13" s="727"/>
      <c r="O13" s="725">
        <f>SUM(O9:O12)*E13</f>
        <v>540.73953628153527</v>
      </c>
      <c r="P13" s="618"/>
      <c r="Q13" s="597" t="str">
        <f>'[29]TAY (Staffed Apartments)'!I29</f>
        <v>Psychiatric Consultation Services</v>
      </c>
      <c r="R13" s="626"/>
      <c r="S13" s="745">
        <v>180.83</v>
      </c>
      <c r="U13" s="709" t="s">
        <v>449</v>
      </c>
      <c r="V13" s="710">
        <v>1.2</v>
      </c>
      <c r="W13" s="711">
        <v>0.2</v>
      </c>
      <c r="X13" s="721"/>
    </row>
    <row r="14" spans="2:26" ht="15.6" customHeight="1" thickBot="1" x14ac:dyDescent="0.3">
      <c r="B14" s="746" t="s">
        <v>194</v>
      </c>
      <c r="C14" s="747"/>
      <c r="D14" s="747"/>
      <c r="E14" s="748">
        <v>12.78</v>
      </c>
      <c r="F14" s="749">
        <f>SUM(F9:F13)</f>
        <v>771602.52520276373</v>
      </c>
      <c r="G14" s="618"/>
      <c r="H14" s="750">
        <v>0.56999999999999995</v>
      </c>
      <c r="I14" s="751">
        <f>SUM(I9:I13)</f>
        <v>46130.337987957006</v>
      </c>
      <c r="J14" s="752"/>
      <c r="K14" s="753">
        <v>0.06</v>
      </c>
      <c r="L14" s="751">
        <f>SUM(L9:L13)</f>
        <v>5374.1830868240686</v>
      </c>
      <c r="M14" s="752"/>
      <c r="N14" s="754">
        <v>0.28000000000000003</v>
      </c>
      <c r="O14" s="755">
        <f>SUM(O9:O13)</f>
        <v>19983.712936281536</v>
      </c>
      <c r="P14" s="618"/>
      <c r="Q14" s="597"/>
      <c r="R14" s="626"/>
      <c r="S14" s="756"/>
      <c r="T14" s="120" t="s">
        <v>450</v>
      </c>
      <c r="U14" s="709" t="s">
        <v>451</v>
      </c>
      <c r="V14" s="710">
        <v>1.7</v>
      </c>
      <c r="W14" s="892"/>
      <c r="X14" s="721"/>
    </row>
    <row r="15" spans="2:26" ht="15.6" customHeight="1" thickBot="1" x14ac:dyDescent="0.3">
      <c r="B15" s="713" t="str">
        <f>Q15</f>
        <v>Occupancy (per bed day) staffed Apts</v>
      </c>
      <c r="C15" s="618"/>
      <c r="D15" s="618"/>
      <c r="E15" s="757">
        <f>S15</f>
        <v>27.4</v>
      </c>
      <c r="F15" s="758">
        <f>E15*F6</f>
        <v>60006</v>
      </c>
      <c r="G15" s="618"/>
      <c r="H15" s="759">
        <f>13750/365</f>
        <v>37.671232876712331</v>
      </c>
      <c r="I15" s="760">
        <f>H15*365</f>
        <v>13750</v>
      </c>
      <c r="J15" s="761"/>
      <c r="K15" s="762">
        <v>37.671232876712331</v>
      </c>
      <c r="L15" s="760">
        <v>13750</v>
      </c>
      <c r="M15" s="763"/>
      <c r="N15" s="762"/>
      <c r="O15" s="760"/>
      <c r="P15" s="618"/>
      <c r="Q15" s="597" t="s">
        <v>452</v>
      </c>
      <c r="R15" s="626"/>
      <c r="S15" s="764">
        <v>27.4</v>
      </c>
      <c r="U15" s="888" t="s">
        <v>392</v>
      </c>
      <c r="V15" s="889">
        <v>0.21</v>
      </c>
      <c r="W15" s="890">
        <v>1.2E-2</v>
      </c>
      <c r="X15" s="891">
        <v>2.5000000000000001E-2</v>
      </c>
    </row>
    <row r="16" spans="2:26" ht="15.6" customHeight="1" x14ac:dyDescent="0.25">
      <c r="B16" s="713" t="str">
        <f>Q13</f>
        <v>Psychiatric Consultation Services</v>
      </c>
      <c r="C16" s="618"/>
      <c r="D16" s="618"/>
      <c r="E16" s="757">
        <f>S13</f>
        <v>180.83</v>
      </c>
      <c r="F16" s="758">
        <f>E16*2*52</f>
        <v>18806.32</v>
      </c>
      <c r="G16" s="618"/>
      <c r="H16" s="759">
        <f>S13</f>
        <v>180.83</v>
      </c>
      <c r="I16" s="760">
        <f>H16*0.5*52</f>
        <v>4701.58</v>
      </c>
      <c r="J16" s="761"/>
      <c r="K16" s="762"/>
      <c r="L16" s="760"/>
      <c r="M16" s="763"/>
      <c r="N16" s="762"/>
      <c r="O16" s="760"/>
      <c r="P16" s="618"/>
      <c r="Q16" s="597" t="s">
        <v>453</v>
      </c>
      <c r="R16" s="626"/>
      <c r="S16" s="764">
        <v>39.56</v>
      </c>
      <c r="T16" s="127" t="s">
        <v>450</v>
      </c>
      <c r="W16" s="120"/>
      <c r="X16" s="120"/>
    </row>
    <row r="17" spans="2:26" ht="15.6" customHeight="1" thickBot="1" x14ac:dyDescent="0.3">
      <c r="B17" s="713" t="s">
        <v>217</v>
      </c>
      <c r="C17" s="618"/>
      <c r="D17" s="618"/>
      <c r="E17" s="757">
        <f>S16</f>
        <v>39.56</v>
      </c>
      <c r="F17" s="758">
        <f>E17*F6</f>
        <v>86636.400000000009</v>
      </c>
      <c r="G17" s="618"/>
      <c r="H17" s="759">
        <f>13000/7/365</f>
        <v>5.0880626223091978</v>
      </c>
      <c r="I17" s="760">
        <f>H17*365</f>
        <v>1857.1428571428571</v>
      </c>
      <c r="J17" s="761"/>
      <c r="K17" s="765">
        <v>5.0880626223091978</v>
      </c>
      <c r="L17" s="760">
        <v>1857.1428571428571</v>
      </c>
      <c r="M17" s="763"/>
      <c r="N17" s="766">
        <f>S17</f>
        <v>1.8049959709911363</v>
      </c>
      <c r="O17" s="760">
        <f>N17*O7</f>
        <v>658.82352941176475</v>
      </c>
      <c r="P17" s="618"/>
      <c r="Q17" s="597" t="s">
        <v>454</v>
      </c>
      <c r="R17" s="626"/>
      <c r="S17" s="764">
        <f>11200/17/365</f>
        <v>1.8049959709911363</v>
      </c>
      <c r="T17" s="127" t="s">
        <v>450</v>
      </c>
      <c r="W17" s="120"/>
      <c r="X17" s="120"/>
    </row>
    <row r="18" spans="2:26" ht="15.6" customHeight="1" thickBot="1" x14ac:dyDescent="0.3">
      <c r="B18" s="746" t="s">
        <v>198</v>
      </c>
      <c r="C18" s="747"/>
      <c r="D18" s="747"/>
      <c r="E18" s="747"/>
      <c r="F18" s="749">
        <f>SUM(F14:F17)</f>
        <v>937051.2452027637</v>
      </c>
      <c r="G18" s="618"/>
      <c r="H18" s="767"/>
      <c r="I18" s="751">
        <f>SUM(I14:I17)</f>
        <v>66439.06084509987</v>
      </c>
      <c r="J18" s="752"/>
      <c r="K18" s="768"/>
      <c r="L18" s="751">
        <f>SUM(L14:L17)</f>
        <v>20981.325943966927</v>
      </c>
      <c r="M18" s="752"/>
      <c r="N18" s="769"/>
      <c r="O18" s="770">
        <f>SUM(O14:O17)</f>
        <v>20642.536465693302</v>
      </c>
      <c r="P18" s="618"/>
      <c r="Q18" s="597" t="s">
        <v>199</v>
      </c>
      <c r="S18" s="771">
        <v>0.12</v>
      </c>
    </row>
    <row r="19" spans="2:26" ht="15.6" customHeight="1" thickBot="1" x14ac:dyDescent="0.3">
      <c r="B19" s="713" t="s">
        <v>199</v>
      </c>
      <c r="C19" s="716"/>
      <c r="D19" s="772"/>
      <c r="E19" s="772">
        <f>S18</f>
        <v>0.12</v>
      </c>
      <c r="F19" s="773">
        <f>(F18-F13)*E19</f>
        <v>109940.69314800001</v>
      </c>
      <c r="G19" s="618"/>
      <c r="H19" s="774">
        <f>E19</f>
        <v>0.12</v>
      </c>
      <c r="I19" s="775">
        <f>(I18-I13)*H19</f>
        <v>7822.8983348571437</v>
      </c>
      <c r="J19" s="752"/>
      <c r="K19" s="776">
        <f>H19</f>
        <v>0.12</v>
      </c>
      <c r="L19" s="775">
        <f>(L18-L13)*K19</f>
        <v>2500.3087028571426</v>
      </c>
      <c r="M19" s="752"/>
      <c r="N19" s="776">
        <f>K19</f>
        <v>0.12</v>
      </c>
      <c r="O19" s="775">
        <f>(O18-O13)*N19</f>
        <v>2412.2156315294119</v>
      </c>
      <c r="P19" s="618"/>
      <c r="Q19" s="144" t="s">
        <v>214</v>
      </c>
      <c r="R19" s="673"/>
      <c r="S19" s="777">
        <f>'[28]3072Therapeutic Grp Care12 Bed '!K51</f>
        <v>2.7811565914169036E-2</v>
      </c>
      <c r="T19" s="120" t="s">
        <v>450</v>
      </c>
      <c r="U19" s="345"/>
      <c r="V19" s="345"/>
      <c r="W19" s="345"/>
      <c r="Y19" s="120"/>
      <c r="Z19" s="120"/>
    </row>
    <row r="20" spans="2:26" ht="15.6" customHeight="1" thickBot="1" x14ac:dyDescent="0.3">
      <c r="B20" s="713" t="s">
        <v>214</v>
      </c>
      <c r="C20" s="618"/>
      <c r="D20" s="742"/>
      <c r="E20" s="742">
        <f>S19</f>
        <v>2.7811565914169036E-2</v>
      </c>
      <c r="F20" s="778">
        <f>SUM(F15:F17)*E20</f>
        <v>4601.3879816948975</v>
      </c>
      <c r="G20" s="618"/>
      <c r="H20" s="774">
        <f>E20</f>
        <v>2.7811565914169036E-2</v>
      </c>
      <c r="I20" s="758">
        <f>SUM(I15:I17)*H20</f>
        <v>564.81738437401998</v>
      </c>
      <c r="J20" s="661"/>
      <c r="K20" s="779">
        <f>H20</f>
        <v>2.7811565914169036E-2</v>
      </c>
      <c r="L20" s="780">
        <f>(L15+L17)*K20</f>
        <v>434.059082303281</v>
      </c>
      <c r="M20" s="661"/>
      <c r="N20" s="779">
        <f>K20</f>
        <v>2.7811565914169036E-2</v>
      </c>
      <c r="O20" s="758">
        <f>O17*N20</f>
        <v>18.322914014040776</v>
      </c>
      <c r="P20" s="618"/>
      <c r="Q20" s="626"/>
      <c r="S20" s="670"/>
      <c r="T20" s="619" t="s">
        <v>455</v>
      </c>
      <c r="U20" s="345"/>
      <c r="V20" s="345"/>
      <c r="W20" s="345"/>
      <c r="Y20" s="120"/>
      <c r="Z20" s="120"/>
    </row>
    <row r="21" spans="2:26" ht="15.6" customHeight="1" thickBot="1" x14ac:dyDescent="0.3">
      <c r="B21" s="781" t="s">
        <v>200</v>
      </c>
      <c r="C21" s="782"/>
      <c r="D21" s="782"/>
      <c r="E21" s="782"/>
      <c r="F21" s="783">
        <f>SUM(F18:F20)</f>
        <v>1051593.3263324588</v>
      </c>
      <c r="G21" s="618"/>
      <c r="H21" s="784"/>
      <c r="I21" s="770">
        <f>I20+I18+I19</f>
        <v>74826.776564331041</v>
      </c>
      <c r="J21" s="752"/>
      <c r="K21" s="769"/>
      <c r="L21" s="770">
        <f>L20+L18+L19</f>
        <v>23915.69372912735</v>
      </c>
      <c r="M21" s="752"/>
      <c r="N21" s="769"/>
      <c r="O21" s="770">
        <f>O20+O18+O19</f>
        <v>23073.075011236753</v>
      </c>
      <c r="P21" s="618"/>
      <c r="Q21" s="136" t="s">
        <v>495</v>
      </c>
      <c r="S21" s="670"/>
      <c r="T21" s="619" t="s">
        <v>456</v>
      </c>
      <c r="U21" s="345"/>
      <c r="V21" s="345"/>
      <c r="W21" s="345"/>
      <c r="Y21" s="120"/>
      <c r="Z21" s="120"/>
    </row>
    <row r="22" spans="2:26" ht="15.6" customHeight="1" thickBot="1" x14ac:dyDescent="0.3">
      <c r="B22" s="785" t="s">
        <v>457</v>
      </c>
      <c r="C22" s="786"/>
      <c r="D22" s="787"/>
      <c r="E22" s="788"/>
      <c r="F22" s="789">
        <f>F21/12</f>
        <v>87632.777194371563</v>
      </c>
      <c r="G22" s="618"/>
      <c r="H22" s="790"/>
      <c r="I22" s="789">
        <f>I21/12</f>
        <v>6235.5647136942534</v>
      </c>
      <c r="J22" s="791"/>
      <c r="K22" s="792"/>
      <c r="L22" s="793"/>
      <c r="M22" s="618"/>
      <c r="N22" s="713"/>
      <c r="O22" s="714"/>
      <c r="P22" s="618"/>
      <c r="Q22" s="1026"/>
      <c r="R22" s="1026"/>
      <c r="S22" s="1026"/>
      <c r="T22" s="120" t="s">
        <v>450</v>
      </c>
      <c r="U22" s="345"/>
      <c r="V22" s="345"/>
      <c r="W22" s="345"/>
      <c r="Y22" s="120"/>
      <c r="Z22" s="120"/>
    </row>
    <row r="23" spans="2:26" ht="15.6" customHeight="1" thickBot="1" x14ac:dyDescent="0.3">
      <c r="B23" s="785" t="s">
        <v>458</v>
      </c>
      <c r="C23" s="786"/>
      <c r="D23" s="787"/>
      <c r="E23" s="788"/>
      <c r="F23" s="789">
        <f>F22/C6</f>
        <v>14605.462865728594</v>
      </c>
      <c r="G23" s="618"/>
      <c r="H23" s="706"/>
      <c r="I23" s="794"/>
      <c r="J23" s="761"/>
      <c r="K23" s="795"/>
      <c r="L23" s="760"/>
      <c r="M23" s="618"/>
      <c r="N23" s="713"/>
      <c r="O23" s="714"/>
      <c r="P23" s="618"/>
      <c r="U23" s="345"/>
      <c r="V23" s="345"/>
      <c r="W23" s="345"/>
    </row>
    <row r="24" spans="2:26" ht="15.6" customHeight="1" thickBot="1" x14ac:dyDescent="0.3">
      <c r="B24" s="796"/>
      <c r="C24" s="797"/>
      <c r="D24" s="798"/>
      <c r="E24" s="799"/>
      <c r="F24" s="800"/>
      <c r="G24" s="618"/>
      <c r="H24" s="716"/>
      <c r="I24" s="801"/>
      <c r="J24" s="801"/>
      <c r="K24" s="802"/>
      <c r="L24" s="803">
        <f>L21/L7</f>
        <v>65.522448572951646</v>
      </c>
      <c r="M24" s="801"/>
      <c r="N24" s="802"/>
      <c r="O24" s="803">
        <f>O21/O7</f>
        <v>63.213904140374666</v>
      </c>
      <c r="P24" s="618"/>
      <c r="U24" s="345"/>
      <c r="V24" s="345"/>
      <c r="W24" s="345"/>
    </row>
    <row r="25" spans="2:26" ht="15.6" customHeight="1" x14ac:dyDescent="0.25">
      <c r="B25" s="796"/>
      <c r="C25" s="797"/>
      <c r="D25" s="804"/>
      <c r="E25" s="799"/>
      <c r="F25" s="800"/>
      <c r="G25" s="618"/>
      <c r="H25" s="618"/>
      <c r="I25" s="618"/>
      <c r="J25" s="618"/>
      <c r="K25" s="713"/>
      <c r="L25" s="714"/>
      <c r="M25" s="618"/>
      <c r="N25" s="713"/>
      <c r="O25" s="714"/>
      <c r="P25" s="618"/>
      <c r="U25" s="345"/>
      <c r="V25" s="345"/>
      <c r="W25" s="345"/>
    </row>
    <row r="26" spans="2:26" ht="15.6" customHeight="1" x14ac:dyDescent="0.25">
      <c r="B26" s="796"/>
      <c r="C26" s="797"/>
      <c r="D26" s="804"/>
      <c r="E26" s="799"/>
      <c r="F26" s="800"/>
      <c r="G26" s="618"/>
      <c r="H26" s="618"/>
      <c r="I26" s="618"/>
      <c r="J26" s="618"/>
      <c r="K26" s="713"/>
      <c r="L26" s="714"/>
      <c r="M26" s="618"/>
      <c r="N26" s="713"/>
      <c r="O26" s="714"/>
      <c r="P26" s="618"/>
      <c r="U26" s="345"/>
      <c r="V26" s="345"/>
      <c r="W26" s="345"/>
    </row>
    <row r="27" spans="2:26" ht="15.6" customHeight="1" x14ac:dyDescent="0.25">
      <c r="B27" s="796"/>
      <c r="C27" s="797"/>
      <c r="D27" s="804"/>
      <c r="E27" s="799"/>
      <c r="F27" s="791"/>
      <c r="G27" s="805"/>
      <c r="H27" s="618"/>
      <c r="I27" s="791"/>
      <c r="J27" s="805"/>
      <c r="K27" s="713"/>
      <c r="L27" s="714"/>
      <c r="M27" s="618"/>
      <c r="N27" s="713"/>
      <c r="O27" s="714"/>
      <c r="P27" s="618"/>
      <c r="U27" s="345"/>
      <c r="V27" s="345"/>
      <c r="W27" s="345"/>
    </row>
    <row r="28" spans="2:26" ht="15.6" customHeight="1" thickBot="1" x14ac:dyDescent="0.3">
      <c r="B28" s="796"/>
      <c r="C28" s="797"/>
      <c r="D28" s="804"/>
      <c r="E28" s="799"/>
      <c r="F28" s="791"/>
      <c r="G28" s="805"/>
      <c r="H28" s="618"/>
      <c r="I28" s="618"/>
      <c r="J28" s="618"/>
      <c r="K28" s="806"/>
      <c r="L28" s="807"/>
      <c r="M28" s="618"/>
      <c r="N28" s="806"/>
      <c r="O28" s="807"/>
      <c r="P28" s="618"/>
    </row>
    <row r="29" spans="2:26" ht="15.6" customHeight="1" x14ac:dyDescent="0.25">
      <c r="B29" s="618"/>
      <c r="C29" s="618"/>
      <c r="D29" s="618"/>
      <c r="E29" s="618"/>
      <c r="F29" s="661"/>
      <c r="G29" s="618"/>
      <c r="H29" s="618"/>
      <c r="I29" s="618"/>
      <c r="J29" s="618"/>
      <c r="K29" s="618"/>
      <c r="L29" s="618"/>
      <c r="M29" s="618"/>
      <c r="N29" s="618"/>
      <c r="O29" s="618"/>
      <c r="P29" s="618"/>
    </row>
    <row r="30" spans="2:26" ht="15.6" customHeight="1" x14ac:dyDescent="0.25">
      <c r="B30" s="618"/>
      <c r="C30" s="618"/>
      <c r="D30" s="618"/>
      <c r="E30" s="618"/>
      <c r="F30" s="618"/>
      <c r="G30" s="618"/>
      <c r="H30" s="618"/>
      <c r="I30" s="618"/>
      <c r="J30" s="618"/>
      <c r="K30" s="618"/>
      <c r="L30" s="801"/>
      <c r="M30" s="805"/>
      <c r="N30" s="618"/>
      <c r="O30" s="801"/>
      <c r="P30" s="810"/>
    </row>
    <row r="31" spans="2:26" ht="15.6" customHeight="1" x14ac:dyDescent="0.25">
      <c r="B31" s="618"/>
      <c r="C31" s="618"/>
      <c r="D31" s="618"/>
      <c r="E31" s="618"/>
      <c r="F31" s="791"/>
      <c r="G31" s="618"/>
      <c r="H31" s="808"/>
      <c r="I31" s="809"/>
      <c r="J31" s="809"/>
      <c r="K31" s="809"/>
      <c r="L31" s="809"/>
      <c r="M31" s="618"/>
      <c r="N31" s="618"/>
      <c r="O31" s="618"/>
      <c r="P31" s="618"/>
    </row>
    <row r="32" spans="2:26" ht="15.6" customHeight="1" x14ac:dyDescent="0.25">
      <c r="B32" s="618"/>
      <c r="C32" s="618"/>
      <c r="D32" s="661"/>
      <c r="E32" s="809"/>
      <c r="F32" s="791"/>
      <c r="G32" s="618"/>
      <c r="H32" s="809"/>
      <c r="I32" s="618"/>
      <c r="J32" s="618"/>
      <c r="K32" s="618"/>
      <c r="L32" s="618"/>
      <c r="M32" s="618"/>
      <c r="N32" s="618"/>
      <c r="O32" s="809"/>
      <c r="P32" s="618"/>
    </row>
    <row r="33" spans="2:16" ht="15.6" customHeight="1" x14ac:dyDescent="0.25">
      <c r="B33" s="632"/>
      <c r="C33" s="632"/>
      <c r="D33" s="669"/>
      <c r="E33" s="668"/>
      <c r="F33" s="632"/>
      <c r="G33" s="632"/>
      <c r="H33" s="632"/>
      <c r="I33" s="632"/>
      <c r="J33" s="632"/>
      <c r="K33" s="632"/>
      <c r="L33" s="632"/>
      <c r="M33" s="632"/>
      <c r="N33" s="632"/>
      <c r="O33" s="632"/>
      <c r="P33" s="632"/>
    </row>
    <row r="34" spans="2:16" ht="15.6" customHeight="1" x14ac:dyDescent="0.25">
      <c r="B34" s="632"/>
      <c r="C34" s="632"/>
      <c r="D34" s="669"/>
      <c r="E34" s="632"/>
      <c r="F34" s="632"/>
      <c r="G34" s="632"/>
      <c r="H34" s="632"/>
      <c r="I34" s="632"/>
      <c r="J34" s="632"/>
      <c r="K34" s="632"/>
      <c r="L34" s="632"/>
      <c r="M34" s="632"/>
      <c r="N34" s="632"/>
      <c r="O34" s="632"/>
      <c r="P34" s="632"/>
    </row>
  </sheetData>
  <mergeCells count="7">
    <mergeCell ref="U4:X4"/>
    <mergeCell ref="Q22:S22"/>
    <mergeCell ref="B4:F5"/>
    <mergeCell ref="H4:I5"/>
    <mergeCell ref="K4:L5"/>
    <mergeCell ref="N4:O5"/>
    <mergeCell ref="Q4:S4"/>
  </mergeCells>
  <pageMargins left="0.25" right="0.25" top="0.25" bottom="0.25" header="0.05" footer="0.05"/>
  <pageSetup scale="8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9061-F031-403C-A160-3F56F8181473}">
  <dimension ref="A1:CT28"/>
  <sheetViews>
    <sheetView workbookViewId="0">
      <selection activeCell="CL33" sqref="CL33"/>
    </sheetView>
  </sheetViews>
  <sheetFormatPr defaultRowHeight="12.75" x14ac:dyDescent="0.2"/>
  <cols>
    <col min="1" max="1" width="38.42578125" style="1" customWidth="1"/>
    <col min="2" max="2" width="12.85546875" style="6" customWidth="1"/>
    <col min="3" max="62" width="7.85546875" style="1" hidden="1" customWidth="1"/>
    <col min="63" max="82" width="7.85546875" style="1" customWidth="1"/>
    <col min="83" max="256" width="8.7109375" style="1"/>
    <col min="257" max="257" width="38.42578125" style="1" customWidth="1"/>
    <col min="258" max="258" width="12.85546875" style="1" customWidth="1"/>
    <col min="259" max="318" width="0" style="1" hidden="1" customWidth="1"/>
    <col min="319" max="338" width="7.85546875" style="1" customWidth="1"/>
    <col min="339" max="512" width="8.7109375" style="1"/>
    <col min="513" max="513" width="38.42578125" style="1" customWidth="1"/>
    <col min="514" max="514" width="12.85546875" style="1" customWidth="1"/>
    <col min="515" max="574" width="0" style="1" hidden="1" customWidth="1"/>
    <col min="575" max="594" width="7.85546875" style="1" customWidth="1"/>
    <col min="595" max="768" width="8.7109375" style="1"/>
    <col min="769" max="769" width="38.42578125" style="1" customWidth="1"/>
    <col min="770" max="770" width="12.85546875" style="1" customWidth="1"/>
    <col min="771" max="830" width="0" style="1" hidden="1" customWidth="1"/>
    <col min="831" max="850" width="7.85546875" style="1" customWidth="1"/>
    <col min="851" max="1024" width="8.7109375" style="1"/>
    <col min="1025" max="1025" width="38.42578125" style="1" customWidth="1"/>
    <col min="1026" max="1026" width="12.85546875" style="1" customWidth="1"/>
    <col min="1027" max="1086" width="0" style="1" hidden="1" customWidth="1"/>
    <col min="1087" max="1106" width="7.85546875" style="1" customWidth="1"/>
    <col min="1107" max="1280" width="8.7109375" style="1"/>
    <col min="1281" max="1281" width="38.42578125" style="1" customWidth="1"/>
    <col min="1282" max="1282" width="12.85546875" style="1" customWidth="1"/>
    <col min="1283" max="1342" width="0" style="1" hidden="1" customWidth="1"/>
    <col min="1343" max="1362" width="7.85546875" style="1" customWidth="1"/>
    <col min="1363" max="1536" width="8.7109375" style="1"/>
    <col min="1537" max="1537" width="38.42578125" style="1" customWidth="1"/>
    <col min="1538" max="1538" width="12.85546875" style="1" customWidth="1"/>
    <col min="1539" max="1598" width="0" style="1" hidden="1" customWidth="1"/>
    <col min="1599" max="1618" width="7.85546875" style="1" customWidth="1"/>
    <col min="1619" max="1792" width="8.7109375" style="1"/>
    <col min="1793" max="1793" width="38.42578125" style="1" customWidth="1"/>
    <col min="1794" max="1794" width="12.85546875" style="1" customWidth="1"/>
    <col min="1795" max="1854" width="0" style="1" hidden="1" customWidth="1"/>
    <col min="1855" max="1874" width="7.85546875" style="1" customWidth="1"/>
    <col min="1875" max="2048" width="8.7109375" style="1"/>
    <col min="2049" max="2049" width="38.42578125" style="1" customWidth="1"/>
    <col min="2050" max="2050" width="12.85546875" style="1" customWidth="1"/>
    <col min="2051" max="2110" width="0" style="1" hidden="1" customWidth="1"/>
    <col min="2111" max="2130" width="7.85546875" style="1" customWidth="1"/>
    <col min="2131" max="2304" width="8.7109375" style="1"/>
    <col min="2305" max="2305" width="38.42578125" style="1" customWidth="1"/>
    <col min="2306" max="2306" width="12.85546875" style="1" customWidth="1"/>
    <col min="2307" max="2366" width="0" style="1" hidden="1" customWidth="1"/>
    <col min="2367" max="2386" width="7.85546875" style="1" customWidth="1"/>
    <col min="2387" max="2560" width="8.7109375" style="1"/>
    <col min="2561" max="2561" width="38.42578125" style="1" customWidth="1"/>
    <col min="2562" max="2562" width="12.85546875" style="1" customWidth="1"/>
    <col min="2563" max="2622" width="0" style="1" hidden="1" customWidth="1"/>
    <col min="2623" max="2642" width="7.85546875" style="1" customWidth="1"/>
    <col min="2643" max="2816" width="8.7109375" style="1"/>
    <col min="2817" max="2817" width="38.42578125" style="1" customWidth="1"/>
    <col min="2818" max="2818" width="12.85546875" style="1" customWidth="1"/>
    <col min="2819" max="2878" width="0" style="1" hidden="1" customWidth="1"/>
    <col min="2879" max="2898" width="7.85546875" style="1" customWidth="1"/>
    <col min="2899" max="3072" width="8.7109375" style="1"/>
    <col min="3073" max="3073" width="38.42578125" style="1" customWidth="1"/>
    <col min="3074" max="3074" width="12.85546875" style="1" customWidth="1"/>
    <col min="3075" max="3134" width="0" style="1" hidden="1" customWidth="1"/>
    <col min="3135" max="3154" width="7.85546875" style="1" customWidth="1"/>
    <col min="3155" max="3328" width="8.7109375" style="1"/>
    <col min="3329" max="3329" width="38.42578125" style="1" customWidth="1"/>
    <col min="3330" max="3330" width="12.85546875" style="1" customWidth="1"/>
    <col min="3331" max="3390" width="0" style="1" hidden="1" customWidth="1"/>
    <col min="3391" max="3410" width="7.85546875" style="1" customWidth="1"/>
    <col min="3411" max="3584" width="8.7109375" style="1"/>
    <col min="3585" max="3585" width="38.42578125" style="1" customWidth="1"/>
    <col min="3586" max="3586" width="12.85546875" style="1" customWidth="1"/>
    <col min="3587" max="3646" width="0" style="1" hidden="1" customWidth="1"/>
    <col min="3647" max="3666" width="7.85546875" style="1" customWidth="1"/>
    <col min="3667" max="3840" width="8.7109375" style="1"/>
    <col min="3841" max="3841" width="38.42578125" style="1" customWidth="1"/>
    <col min="3842" max="3842" width="12.85546875" style="1" customWidth="1"/>
    <col min="3843" max="3902" width="0" style="1" hidden="1" customWidth="1"/>
    <col min="3903" max="3922" width="7.85546875" style="1" customWidth="1"/>
    <col min="3923" max="4096" width="8.7109375" style="1"/>
    <col min="4097" max="4097" width="38.42578125" style="1" customWidth="1"/>
    <col min="4098" max="4098" width="12.85546875" style="1" customWidth="1"/>
    <col min="4099" max="4158" width="0" style="1" hidden="1" customWidth="1"/>
    <col min="4159" max="4178" width="7.85546875" style="1" customWidth="1"/>
    <col min="4179" max="4352" width="8.7109375" style="1"/>
    <col min="4353" max="4353" width="38.42578125" style="1" customWidth="1"/>
    <col min="4354" max="4354" width="12.85546875" style="1" customWidth="1"/>
    <col min="4355" max="4414" width="0" style="1" hidden="1" customWidth="1"/>
    <col min="4415" max="4434" width="7.85546875" style="1" customWidth="1"/>
    <col min="4435" max="4608" width="8.7109375" style="1"/>
    <col min="4609" max="4609" width="38.42578125" style="1" customWidth="1"/>
    <col min="4610" max="4610" width="12.85546875" style="1" customWidth="1"/>
    <col min="4611" max="4670" width="0" style="1" hidden="1" customWidth="1"/>
    <col min="4671" max="4690" width="7.85546875" style="1" customWidth="1"/>
    <col min="4691" max="4864" width="8.7109375" style="1"/>
    <col min="4865" max="4865" width="38.42578125" style="1" customWidth="1"/>
    <col min="4866" max="4866" width="12.85546875" style="1" customWidth="1"/>
    <col min="4867" max="4926" width="0" style="1" hidden="1" customWidth="1"/>
    <col min="4927" max="4946" width="7.85546875" style="1" customWidth="1"/>
    <col min="4947" max="5120" width="8.7109375" style="1"/>
    <col min="5121" max="5121" width="38.42578125" style="1" customWidth="1"/>
    <col min="5122" max="5122" width="12.85546875" style="1" customWidth="1"/>
    <col min="5123" max="5182" width="0" style="1" hidden="1" customWidth="1"/>
    <col min="5183" max="5202" width="7.85546875" style="1" customWidth="1"/>
    <col min="5203" max="5376" width="8.7109375" style="1"/>
    <col min="5377" max="5377" width="38.42578125" style="1" customWidth="1"/>
    <col min="5378" max="5378" width="12.85546875" style="1" customWidth="1"/>
    <col min="5379" max="5438" width="0" style="1" hidden="1" customWidth="1"/>
    <col min="5439" max="5458" width="7.85546875" style="1" customWidth="1"/>
    <col min="5459" max="5632" width="8.7109375" style="1"/>
    <col min="5633" max="5633" width="38.42578125" style="1" customWidth="1"/>
    <col min="5634" max="5634" width="12.85546875" style="1" customWidth="1"/>
    <col min="5635" max="5694" width="0" style="1" hidden="1" customWidth="1"/>
    <col min="5695" max="5714" width="7.85546875" style="1" customWidth="1"/>
    <col min="5715" max="5888" width="8.7109375" style="1"/>
    <col min="5889" max="5889" width="38.42578125" style="1" customWidth="1"/>
    <col min="5890" max="5890" width="12.85546875" style="1" customWidth="1"/>
    <col min="5891" max="5950" width="0" style="1" hidden="1" customWidth="1"/>
    <col min="5951" max="5970" width="7.85546875" style="1" customWidth="1"/>
    <col min="5971" max="6144" width="8.7109375" style="1"/>
    <col min="6145" max="6145" width="38.42578125" style="1" customWidth="1"/>
    <col min="6146" max="6146" width="12.85546875" style="1" customWidth="1"/>
    <col min="6147" max="6206" width="0" style="1" hidden="1" customWidth="1"/>
    <col min="6207" max="6226" width="7.85546875" style="1" customWidth="1"/>
    <col min="6227" max="6400" width="8.7109375" style="1"/>
    <col min="6401" max="6401" width="38.42578125" style="1" customWidth="1"/>
    <col min="6402" max="6402" width="12.85546875" style="1" customWidth="1"/>
    <col min="6403" max="6462" width="0" style="1" hidden="1" customWidth="1"/>
    <col min="6463" max="6482" width="7.85546875" style="1" customWidth="1"/>
    <col min="6483" max="6656" width="8.7109375" style="1"/>
    <col min="6657" max="6657" width="38.42578125" style="1" customWidth="1"/>
    <col min="6658" max="6658" width="12.85546875" style="1" customWidth="1"/>
    <col min="6659" max="6718" width="0" style="1" hidden="1" customWidth="1"/>
    <col min="6719" max="6738" width="7.85546875" style="1" customWidth="1"/>
    <col min="6739" max="6912" width="8.7109375" style="1"/>
    <col min="6913" max="6913" width="38.42578125" style="1" customWidth="1"/>
    <col min="6914" max="6914" width="12.85546875" style="1" customWidth="1"/>
    <col min="6915" max="6974" width="0" style="1" hidden="1" customWidth="1"/>
    <col min="6975" max="6994" width="7.85546875" style="1" customWidth="1"/>
    <col min="6995" max="7168" width="8.7109375" style="1"/>
    <col min="7169" max="7169" width="38.42578125" style="1" customWidth="1"/>
    <col min="7170" max="7170" width="12.85546875" style="1" customWidth="1"/>
    <col min="7171" max="7230" width="0" style="1" hidden="1" customWidth="1"/>
    <col min="7231" max="7250" width="7.85546875" style="1" customWidth="1"/>
    <col min="7251" max="7424" width="8.7109375" style="1"/>
    <col min="7425" max="7425" width="38.42578125" style="1" customWidth="1"/>
    <col min="7426" max="7426" width="12.85546875" style="1" customWidth="1"/>
    <col min="7427" max="7486" width="0" style="1" hidden="1" customWidth="1"/>
    <col min="7487" max="7506" width="7.85546875" style="1" customWidth="1"/>
    <col min="7507" max="7680" width="8.7109375" style="1"/>
    <col min="7681" max="7681" width="38.42578125" style="1" customWidth="1"/>
    <col min="7682" max="7682" width="12.85546875" style="1" customWidth="1"/>
    <col min="7683" max="7742" width="0" style="1" hidden="1" customWidth="1"/>
    <col min="7743" max="7762" width="7.85546875" style="1" customWidth="1"/>
    <col min="7763" max="7936" width="8.7109375" style="1"/>
    <col min="7937" max="7937" width="38.42578125" style="1" customWidth="1"/>
    <col min="7938" max="7938" width="12.85546875" style="1" customWidth="1"/>
    <col min="7939" max="7998" width="0" style="1" hidden="1" customWidth="1"/>
    <col min="7999" max="8018" width="7.85546875" style="1" customWidth="1"/>
    <col min="8019" max="8192" width="8.7109375" style="1"/>
    <col min="8193" max="8193" width="38.42578125" style="1" customWidth="1"/>
    <col min="8194" max="8194" width="12.85546875" style="1" customWidth="1"/>
    <col min="8195" max="8254" width="0" style="1" hidden="1" customWidth="1"/>
    <col min="8255" max="8274" width="7.85546875" style="1" customWidth="1"/>
    <col min="8275" max="8448" width="8.7109375" style="1"/>
    <col min="8449" max="8449" width="38.42578125" style="1" customWidth="1"/>
    <col min="8450" max="8450" width="12.85546875" style="1" customWidth="1"/>
    <col min="8451" max="8510" width="0" style="1" hidden="1" customWidth="1"/>
    <col min="8511" max="8530" width="7.85546875" style="1" customWidth="1"/>
    <col min="8531" max="8704" width="8.7109375" style="1"/>
    <col min="8705" max="8705" width="38.42578125" style="1" customWidth="1"/>
    <col min="8706" max="8706" width="12.85546875" style="1" customWidth="1"/>
    <col min="8707" max="8766" width="0" style="1" hidden="1" customWidth="1"/>
    <col min="8767" max="8786" width="7.85546875" style="1" customWidth="1"/>
    <col min="8787" max="8960" width="8.7109375" style="1"/>
    <col min="8961" max="8961" width="38.42578125" style="1" customWidth="1"/>
    <col min="8962" max="8962" width="12.85546875" style="1" customWidth="1"/>
    <col min="8963" max="9022" width="0" style="1" hidden="1" customWidth="1"/>
    <col min="9023" max="9042" width="7.85546875" style="1" customWidth="1"/>
    <col min="9043" max="9216" width="8.7109375" style="1"/>
    <col min="9217" max="9217" width="38.42578125" style="1" customWidth="1"/>
    <col min="9218" max="9218" width="12.85546875" style="1" customWidth="1"/>
    <col min="9219" max="9278" width="0" style="1" hidden="1" customWidth="1"/>
    <col min="9279" max="9298" width="7.85546875" style="1" customWidth="1"/>
    <col min="9299" max="9472" width="8.7109375" style="1"/>
    <col min="9473" max="9473" width="38.42578125" style="1" customWidth="1"/>
    <col min="9474" max="9474" width="12.85546875" style="1" customWidth="1"/>
    <col min="9475" max="9534" width="0" style="1" hidden="1" customWidth="1"/>
    <col min="9535" max="9554" width="7.85546875" style="1" customWidth="1"/>
    <col min="9555" max="9728" width="8.7109375" style="1"/>
    <col min="9729" max="9729" width="38.42578125" style="1" customWidth="1"/>
    <col min="9730" max="9730" width="12.85546875" style="1" customWidth="1"/>
    <col min="9731" max="9790" width="0" style="1" hidden="1" customWidth="1"/>
    <col min="9791" max="9810" width="7.85546875" style="1" customWidth="1"/>
    <col min="9811" max="9984" width="8.7109375" style="1"/>
    <col min="9985" max="9985" width="38.42578125" style="1" customWidth="1"/>
    <col min="9986" max="9986" width="12.85546875" style="1" customWidth="1"/>
    <col min="9987" max="10046" width="0" style="1" hidden="1" customWidth="1"/>
    <col min="10047" max="10066" width="7.85546875" style="1" customWidth="1"/>
    <col min="10067" max="10240" width="8.7109375" style="1"/>
    <col min="10241" max="10241" width="38.42578125" style="1" customWidth="1"/>
    <col min="10242" max="10242" width="12.85546875" style="1" customWidth="1"/>
    <col min="10243" max="10302" width="0" style="1" hidden="1" customWidth="1"/>
    <col min="10303" max="10322" width="7.85546875" style="1" customWidth="1"/>
    <col min="10323" max="10496" width="8.7109375" style="1"/>
    <col min="10497" max="10497" width="38.42578125" style="1" customWidth="1"/>
    <col min="10498" max="10498" width="12.85546875" style="1" customWidth="1"/>
    <col min="10499" max="10558" width="0" style="1" hidden="1" customWidth="1"/>
    <col min="10559" max="10578" width="7.85546875" style="1" customWidth="1"/>
    <col min="10579" max="10752" width="8.7109375" style="1"/>
    <col min="10753" max="10753" width="38.42578125" style="1" customWidth="1"/>
    <col min="10754" max="10754" width="12.85546875" style="1" customWidth="1"/>
    <col min="10755" max="10814" width="0" style="1" hidden="1" customWidth="1"/>
    <col min="10815" max="10834" width="7.85546875" style="1" customWidth="1"/>
    <col min="10835" max="11008" width="8.7109375" style="1"/>
    <col min="11009" max="11009" width="38.42578125" style="1" customWidth="1"/>
    <col min="11010" max="11010" width="12.85546875" style="1" customWidth="1"/>
    <col min="11011" max="11070" width="0" style="1" hidden="1" customWidth="1"/>
    <col min="11071" max="11090" width="7.85546875" style="1" customWidth="1"/>
    <col min="11091" max="11264" width="8.7109375" style="1"/>
    <col min="11265" max="11265" width="38.42578125" style="1" customWidth="1"/>
    <col min="11266" max="11266" width="12.85546875" style="1" customWidth="1"/>
    <col min="11267" max="11326" width="0" style="1" hidden="1" customWidth="1"/>
    <col min="11327" max="11346" width="7.85546875" style="1" customWidth="1"/>
    <col min="11347" max="11520" width="8.7109375" style="1"/>
    <col min="11521" max="11521" width="38.42578125" style="1" customWidth="1"/>
    <col min="11522" max="11522" width="12.85546875" style="1" customWidth="1"/>
    <col min="11523" max="11582" width="0" style="1" hidden="1" customWidth="1"/>
    <col min="11583" max="11602" width="7.85546875" style="1" customWidth="1"/>
    <col min="11603" max="11776" width="8.7109375" style="1"/>
    <col min="11777" max="11777" width="38.42578125" style="1" customWidth="1"/>
    <col min="11778" max="11778" width="12.85546875" style="1" customWidth="1"/>
    <col min="11779" max="11838" width="0" style="1" hidden="1" customWidth="1"/>
    <col min="11839" max="11858" width="7.85546875" style="1" customWidth="1"/>
    <col min="11859" max="12032" width="8.7109375" style="1"/>
    <col min="12033" max="12033" width="38.42578125" style="1" customWidth="1"/>
    <col min="12034" max="12034" width="12.85546875" style="1" customWidth="1"/>
    <col min="12035" max="12094" width="0" style="1" hidden="1" customWidth="1"/>
    <col min="12095" max="12114" width="7.85546875" style="1" customWidth="1"/>
    <col min="12115" max="12288" width="8.7109375" style="1"/>
    <col min="12289" max="12289" width="38.42578125" style="1" customWidth="1"/>
    <col min="12290" max="12290" width="12.85546875" style="1" customWidth="1"/>
    <col min="12291" max="12350" width="0" style="1" hidden="1" customWidth="1"/>
    <col min="12351" max="12370" width="7.85546875" style="1" customWidth="1"/>
    <col min="12371" max="12544" width="8.7109375" style="1"/>
    <col min="12545" max="12545" width="38.42578125" style="1" customWidth="1"/>
    <col min="12546" max="12546" width="12.85546875" style="1" customWidth="1"/>
    <col min="12547" max="12606" width="0" style="1" hidden="1" customWidth="1"/>
    <col min="12607" max="12626" width="7.85546875" style="1" customWidth="1"/>
    <col min="12627" max="12800" width="8.7109375" style="1"/>
    <col min="12801" max="12801" width="38.42578125" style="1" customWidth="1"/>
    <col min="12802" max="12802" width="12.85546875" style="1" customWidth="1"/>
    <col min="12803" max="12862" width="0" style="1" hidden="1" customWidth="1"/>
    <col min="12863" max="12882" width="7.85546875" style="1" customWidth="1"/>
    <col min="12883" max="13056" width="8.7109375" style="1"/>
    <col min="13057" max="13057" width="38.42578125" style="1" customWidth="1"/>
    <col min="13058" max="13058" width="12.85546875" style="1" customWidth="1"/>
    <col min="13059" max="13118" width="0" style="1" hidden="1" customWidth="1"/>
    <col min="13119" max="13138" width="7.85546875" style="1" customWidth="1"/>
    <col min="13139" max="13312" width="8.7109375" style="1"/>
    <col min="13313" max="13313" width="38.42578125" style="1" customWidth="1"/>
    <col min="13314" max="13314" width="12.85546875" style="1" customWidth="1"/>
    <col min="13315" max="13374" width="0" style="1" hidden="1" customWidth="1"/>
    <col min="13375" max="13394" width="7.85546875" style="1" customWidth="1"/>
    <col min="13395" max="13568" width="8.7109375" style="1"/>
    <col min="13569" max="13569" width="38.42578125" style="1" customWidth="1"/>
    <col min="13570" max="13570" width="12.85546875" style="1" customWidth="1"/>
    <col min="13571" max="13630" width="0" style="1" hidden="1" customWidth="1"/>
    <col min="13631" max="13650" width="7.85546875" style="1" customWidth="1"/>
    <col min="13651" max="13824" width="8.7109375" style="1"/>
    <col min="13825" max="13825" width="38.42578125" style="1" customWidth="1"/>
    <col min="13826" max="13826" width="12.85546875" style="1" customWidth="1"/>
    <col min="13827" max="13886" width="0" style="1" hidden="1" customWidth="1"/>
    <col min="13887" max="13906" width="7.85546875" style="1" customWidth="1"/>
    <col min="13907" max="14080" width="8.7109375" style="1"/>
    <col min="14081" max="14081" width="38.42578125" style="1" customWidth="1"/>
    <col min="14082" max="14082" width="12.85546875" style="1" customWidth="1"/>
    <col min="14083" max="14142" width="0" style="1" hidden="1" customWidth="1"/>
    <col min="14143" max="14162" width="7.85546875" style="1" customWidth="1"/>
    <col min="14163" max="14336" width="8.7109375" style="1"/>
    <col min="14337" max="14337" width="38.42578125" style="1" customWidth="1"/>
    <col min="14338" max="14338" width="12.85546875" style="1" customWidth="1"/>
    <col min="14339" max="14398" width="0" style="1" hidden="1" customWidth="1"/>
    <col min="14399" max="14418" width="7.85546875" style="1" customWidth="1"/>
    <col min="14419" max="14592" width="8.7109375" style="1"/>
    <col min="14593" max="14593" width="38.42578125" style="1" customWidth="1"/>
    <col min="14594" max="14594" width="12.85546875" style="1" customWidth="1"/>
    <col min="14595" max="14654" width="0" style="1" hidden="1" customWidth="1"/>
    <col min="14655" max="14674" width="7.85546875" style="1" customWidth="1"/>
    <col min="14675" max="14848" width="8.7109375" style="1"/>
    <col min="14849" max="14849" width="38.42578125" style="1" customWidth="1"/>
    <col min="14850" max="14850" width="12.85546875" style="1" customWidth="1"/>
    <col min="14851" max="14910" width="0" style="1" hidden="1" customWidth="1"/>
    <col min="14911" max="14930" width="7.85546875" style="1" customWidth="1"/>
    <col min="14931" max="15104" width="8.7109375" style="1"/>
    <col min="15105" max="15105" width="38.42578125" style="1" customWidth="1"/>
    <col min="15106" max="15106" width="12.85546875" style="1" customWidth="1"/>
    <col min="15107" max="15166" width="0" style="1" hidden="1" customWidth="1"/>
    <col min="15167" max="15186" width="7.85546875" style="1" customWidth="1"/>
    <col min="15187" max="15360" width="8.7109375" style="1"/>
    <col min="15361" max="15361" width="38.42578125" style="1" customWidth="1"/>
    <col min="15362" max="15362" width="12.85546875" style="1" customWidth="1"/>
    <col min="15363" max="15422" width="0" style="1" hidden="1" customWidth="1"/>
    <col min="15423" max="15442" width="7.85546875" style="1" customWidth="1"/>
    <col min="15443" max="15616" width="8.7109375" style="1"/>
    <col min="15617" max="15617" width="38.42578125" style="1" customWidth="1"/>
    <col min="15618" max="15618" width="12.85546875" style="1" customWidth="1"/>
    <col min="15619" max="15678" width="0" style="1" hidden="1" customWidth="1"/>
    <col min="15679" max="15698" width="7.85546875" style="1" customWidth="1"/>
    <col min="15699" max="15872" width="8.7109375" style="1"/>
    <col min="15873" max="15873" width="38.42578125" style="1" customWidth="1"/>
    <col min="15874" max="15874" width="12.85546875" style="1" customWidth="1"/>
    <col min="15875" max="15934" width="0" style="1" hidden="1" customWidth="1"/>
    <col min="15935" max="15954" width="7.85546875" style="1" customWidth="1"/>
    <col min="15955" max="16128" width="8.7109375" style="1"/>
    <col min="16129" max="16129" width="38.42578125" style="1" customWidth="1"/>
    <col min="16130" max="16130" width="12.85546875" style="1" customWidth="1"/>
    <col min="16131" max="16190" width="0" style="1" hidden="1" customWidth="1"/>
    <col min="16191" max="16210" width="7.85546875" style="1" customWidth="1"/>
    <col min="16211" max="16384" width="8.7109375" style="1"/>
  </cols>
  <sheetData>
    <row r="1" spans="1:98" ht="18" x14ac:dyDescent="0.25">
      <c r="A1" s="1048" t="s">
        <v>0</v>
      </c>
      <c r="B1" s="1049"/>
    </row>
    <row r="2" spans="1:98" ht="15.75" x14ac:dyDescent="0.25">
      <c r="A2" s="2" t="s">
        <v>1</v>
      </c>
      <c r="B2" s="3"/>
    </row>
    <row r="3" spans="1:98" ht="15.75" thickBot="1" x14ac:dyDescent="0.3">
      <c r="A3" s="4" t="s">
        <v>2</v>
      </c>
      <c r="B3" s="5"/>
    </row>
    <row r="6" spans="1:98" x14ac:dyDescent="0.2">
      <c r="BQ6" s="7" t="s">
        <v>3</v>
      </c>
      <c r="BR6" s="7" t="s">
        <v>3</v>
      </c>
      <c r="BS6" s="7" t="s">
        <v>3</v>
      </c>
      <c r="BT6" s="7" t="s">
        <v>3</v>
      </c>
      <c r="BU6" s="8" t="s">
        <v>4</v>
      </c>
      <c r="BV6" s="8" t="s">
        <v>4</v>
      </c>
      <c r="BW6" s="8" t="s">
        <v>4</v>
      </c>
      <c r="BX6" s="8" t="s">
        <v>4</v>
      </c>
      <c r="BY6" s="9" t="s">
        <v>5</v>
      </c>
      <c r="BZ6" s="9" t="s">
        <v>5</v>
      </c>
      <c r="CA6" s="9" t="s">
        <v>5</v>
      </c>
      <c r="CB6" s="9" t="s">
        <v>5</v>
      </c>
      <c r="CC6" s="10" t="s">
        <v>6</v>
      </c>
      <c r="CD6" s="10" t="s">
        <v>6</v>
      </c>
      <c r="CE6" s="10" t="s">
        <v>6</v>
      </c>
      <c r="CF6" s="10" t="s">
        <v>6</v>
      </c>
      <c r="CG6" s="11" t="s">
        <v>7</v>
      </c>
      <c r="CH6" s="11" t="s">
        <v>7</v>
      </c>
      <c r="CI6" s="11" t="s">
        <v>7</v>
      </c>
      <c r="CJ6" s="11" t="s">
        <v>7</v>
      </c>
    </row>
    <row r="7" spans="1:98" s="6" customFormat="1" x14ac:dyDescent="0.2">
      <c r="B7" s="6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20</v>
      </c>
      <c r="O7" s="12" t="s">
        <v>21</v>
      </c>
      <c r="P7" s="12" t="s">
        <v>22</v>
      </c>
      <c r="Q7" s="12" t="s">
        <v>23</v>
      </c>
      <c r="R7" s="12" t="s">
        <v>24</v>
      </c>
      <c r="S7" s="12" t="s">
        <v>25</v>
      </c>
      <c r="T7" s="12" t="s">
        <v>26</v>
      </c>
      <c r="U7" s="12" t="s">
        <v>27</v>
      </c>
      <c r="V7" s="12" t="s">
        <v>28</v>
      </c>
      <c r="W7" s="12" t="s">
        <v>29</v>
      </c>
      <c r="X7" s="12" t="s">
        <v>30</v>
      </c>
      <c r="Y7" s="12" t="s">
        <v>31</v>
      </c>
      <c r="Z7" s="12" t="s">
        <v>32</v>
      </c>
      <c r="AA7" s="12" t="s">
        <v>33</v>
      </c>
      <c r="AB7" s="12" t="s">
        <v>34</v>
      </c>
      <c r="AC7" s="12" t="s">
        <v>35</v>
      </c>
      <c r="AD7" s="12" t="s">
        <v>36</v>
      </c>
      <c r="AE7" s="12" t="s">
        <v>37</v>
      </c>
      <c r="AF7" s="12" t="s">
        <v>38</v>
      </c>
      <c r="AG7" s="12" t="s">
        <v>39</v>
      </c>
      <c r="AH7" s="12" t="s">
        <v>40</v>
      </c>
      <c r="AI7" s="12" t="s">
        <v>41</v>
      </c>
      <c r="AJ7" s="12" t="s">
        <v>42</v>
      </c>
      <c r="AK7" s="12" t="s">
        <v>43</v>
      </c>
      <c r="AL7" s="12" t="s">
        <v>44</v>
      </c>
      <c r="AM7" s="12" t="s">
        <v>45</v>
      </c>
      <c r="AN7" s="12" t="s">
        <v>46</v>
      </c>
      <c r="AO7" s="12" t="s">
        <v>47</v>
      </c>
      <c r="AP7" s="12" t="s">
        <v>48</v>
      </c>
      <c r="AQ7" s="12" t="s">
        <v>49</v>
      </c>
      <c r="AR7" s="12" t="s">
        <v>50</v>
      </c>
      <c r="AS7" s="12" t="s">
        <v>51</v>
      </c>
      <c r="AT7" s="12" t="s">
        <v>52</v>
      </c>
      <c r="AU7" s="6" t="s">
        <v>53</v>
      </c>
      <c r="AV7" s="6" t="s">
        <v>54</v>
      </c>
      <c r="AW7" s="6" t="s">
        <v>55</v>
      </c>
      <c r="AX7" s="6" t="s">
        <v>56</v>
      </c>
      <c r="AY7" s="6" t="s">
        <v>57</v>
      </c>
      <c r="AZ7" s="6" t="s">
        <v>58</v>
      </c>
      <c r="BA7" s="6" t="s">
        <v>59</v>
      </c>
      <c r="BB7" s="6" t="s">
        <v>60</v>
      </c>
      <c r="BC7" s="6" t="s">
        <v>61</v>
      </c>
      <c r="BD7" s="6" t="s">
        <v>62</v>
      </c>
      <c r="BE7" s="6" t="s">
        <v>63</v>
      </c>
      <c r="BF7" s="6" t="s">
        <v>64</v>
      </c>
      <c r="BG7" s="6" t="s">
        <v>65</v>
      </c>
      <c r="BH7" s="6" t="s">
        <v>66</v>
      </c>
      <c r="BI7" s="6" t="s">
        <v>67</v>
      </c>
      <c r="BJ7" s="6" t="s">
        <v>68</v>
      </c>
      <c r="BK7" s="6" t="s">
        <v>69</v>
      </c>
      <c r="BL7" s="6" t="s">
        <v>70</v>
      </c>
      <c r="BM7" s="6" t="s">
        <v>71</v>
      </c>
      <c r="BN7" s="6" t="s">
        <v>72</v>
      </c>
      <c r="BO7" s="6" t="s">
        <v>73</v>
      </c>
      <c r="BP7" s="6" t="s">
        <v>74</v>
      </c>
      <c r="BQ7" s="6" t="s">
        <v>75</v>
      </c>
      <c r="BR7" s="6" t="s">
        <v>76</v>
      </c>
      <c r="BS7" s="6" t="s">
        <v>77</v>
      </c>
      <c r="BT7" s="6" t="s">
        <v>78</v>
      </c>
      <c r="BU7" s="6" t="s">
        <v>79</v>
      </c>
      <c r="BV7" s="6" t="s">
        <v>80</v>
      </c>
      <c r="BW7" s="6" t="s">
        <v>81</v>
      </c>
      <c r="BX7" s="6" t="s">
        <v>82</v>
      </c>
      <c r="BY7" s="6" t="s">
        <v>83</v>
      </c>
      <c r="BZ7" s="6" t="s">
        <v>84</v>
      </c>
      <c r="CA7" s="6" t="s">
        <v>85</v>
      </c>
      <c r="CB7" s="6" t="s">
        <v>86</v>
      </c>
      <c r="CC7" s="6" t="s">
        <v>87</v>
      </c>
      <c r="CD7" s="6" t="s">
        <v>88</v>
      </c>
      <c r="CE7" s="6" t="s">
        <v>89</v>
      </c>
      <c r="CF7" s="6" t="s">
        <v>90</v>
      </c>
      <c r="CG7" s="6" t="s">
        <v>91</v>
      </c>
      <c r="CH7" s="6" t="s">
        <v>92</v>
      </c>
      <c r="CI7" s="6" t="s">
        <v>93</v>
      </c>
      <c r="CJ7" s="6" t="s">
        <v>94</v>
      </c>
      <c r="CK7" s="6" t="s">
        <v>95</v>
      </c>
      <c r="CL7" s="6" t="s">
        <v>96</v>
      </c>
      <c r="CM7" s="6" t="s">
        <v>97</v>
      </c>
      <c r="CN7" s="6" t="s">
        <v>98</v>
      </c>
      <c r="CO7" s="6" t="s">
        <v>99</v>
      </c>
      <c r="CP7" s="6" t="s">
        <v>100</v>
      </c>
      <c r="CQ7" s="6" t="s">
        <v>101</v>
      </c>
      <c r="CR7" s="6" t="s">
        <v>102</v>
      </c>
      <c r="CS7" s="6" t="s">
        <v>103</v>
      </c>
      <c r="CT7" s="6" t="s">
        <v>104</v>
      </c>
    </row>
    <row r="8" spans="1:98" x14ac:dyDescent="0.2">
      <c r="A8" s="6" t="s">
        <v>105</v>
      </c>
      <c r="B8" s="6" t="s">
        <v>106</v>
      </c>
      <c r="C8" s="13">
        <v>2.03516971038266</v>
      </c>
      <c r="D8" s="13">
        <v>2.0603243586248499</v>
      </c>
      <c r="E8" s="13">
        <v>2.0653694065802699</v>
      </c>
      <c r="F8" s="13">
        <v>2.0874807762832099</v>
      </c>
      <c r="G8" s="13">
        <v>2.1050400482010199</v>
      </c>
      <c r="H8" s="13">
        <v>2.1154192603458899</v>
      </c>
      <c r="I8" s="13">
        <v>2.1518068200870601</v>
      </c>
      <c r="J8" s="13">
        <v>2.1707783725541501</v>
      </c>
      <c r="K8" s="13">
        <v>2.18783691981761</v>
      </c>
      <c r="L8" s="13">
        <v>2.2132586941521701</v>
      </c>
      <c r="M8" s="13">
        <v>2.2359257447920902</v>
      </c>
      <c r="N8" s="13">
        <v>2.2211869184724802</v>
      </c>
      <c r="O8" s="13">
        <v>2.2326241842019399</v>
      </c>
      <c r="P8" s="13">
        <v>2.25901750728924</v>
      </c>
      <c r="Q8" s="13">
        <v>2.2765164106308</v>
      </c>
      <c r="R8" s="13">
        <v>2.30291395940545</v>
      </c>
      <c r="S8" s="13">
        <v>2.3203732479405201</v>
      </c>
      <c r="T8" s="13">
        <v>2.3642172164480799</v>
      </c>
      <c r="U8" s="13">
        <v>2.4053168355103001</v>
      </c>
      <c r="V8" s="13">
        <v>2.3519755124970101</v>
      </c>
      <c r="W8" s="13">
        <v>2.3408422306286298</v>
      </c>
      <c r="X8" s="13">
        <v>2.3474188487574099</v>
      </c>
      <c r="Y8" s="13">
        <v>2.36722788639723</v>
      </c>
      <c r="Z8" s="13">
        <v>2.38170796623861</v>
      </c>
      <c r="AA8" s="13">
        <v>2.37977560548517</v>
      </c>
      <c r="AB8" s="13">
        <v>2.3845469305921401</v>
      </c>
      <c r="AC8" s="13">
        <v>2.3990494738484398</v>
      </c>
      <c r="AD8" s="13">
        <v>2.4227910394257499</v>
      </c>
      <c r="AE8" s="13">
        <v>2.4330498565991299</v>
      </c>
      <c r="AF8" s="13">
        <v>2.4782592908991101</v>
      </c>
      <c r="AG8" s="13">
        <v>2.48958598393371</v>
      </c>
      <c r="AH8" s="13">
        <v>2.4982528033804701</v>
      </c>
      <c r="AI8" s="13">
        <v>2.5146494553159999</v>
      </c>
      <c r="AJ8" s="13">
        <v>2.52107076869803</v>
      </c>
      <c r="AK8" s="13">
        <v>2.5313114193711401</v>
      </c>
      <c r="AL8" s="13">
        <v>2.5519818070473299</v>
      </c>
      <c r="AM8" s="13">
        <v>2.5588970948066301</v>
      </c>
      <c r="AN8" s="13">
        <v>2.5563607318916199</v>
      </c>
      <c r="AO8" s="13">
        <v>2.5757018498037501</v>
      </c>
      <c r="AP8" s="13">
        <v>2.5903118852466198</v>
      </c>
      <c r="AQ8" s="13">
        <v>2.5984834377108701</v>
      </c>
      <c r="AR8" s="13">
        <v>2.6097667453760698</v>
      </c>
      <c r="AS8" s="13">
        <v>2.6162580136308198</v>
      </c>
      <c r="AT8" s="13">
        <v>2.6185435816407101</v>
      </c>
      <c r="AU8" s="13">
        <v>2.6130742036410601</v>
      </c>
      <c r="AV8" s="13">
        <v>2.6248654931503501</v>
      </c>
      <c r="AW8" s="13">
        <v>2.6210903132751202</v>
      </c>
      <c r="AX8" s="13">
        <v>2.62812001494735</v>
      </c>
      <c r="AY8" s="13">
        <v>2.6195672059792101</v>
      </c>
      <c r="AZ8" s="13">
        <v>2.6445845101286198</v>
      </c>
      <c r="BA8" s="13">
        <v>2.6645119184811499</v>
      </c>
      <c r="BB8" s="13">
        <v>2.6793127669589998</v>
      </c>
      <c r="BC8" s="13">
        <v>2.69196801581622</v>
      </c>
      <c r="BD8" s="13">
        <v>2.6963999173151398</v>
      </c>
      <c r="BE8" s="13">
        <v>2.70820199309592</v>
      </c>
      <c r="BF8" s="13">
        <v>2.7228199938442401</v>
      </c>
      <c r="BG8" s="13">
        <v>2.7581855200157999</v>
      </c>
      <c r="BH8" s="13">
        <v>2.7725868388914199</v>
      </c>
      <c r="BI8" s="13">
        <v>2.7794261240196301</v>
      </c>
      <c r="BJ8" s="13">
        <v>2.79252284616837</v>
      </c>
      <c r="BK8" s="13">
        <v>2.80204068249218</v>
      </c>
      <c r="BL8" s="13">
        <v>2.8122450644763202</v>
      </c>
      <c r="BM8" s="13">
        <v>2.8300584393122699</v>
      </c>
      <c r="BN8" s="13">
        <v>2.84208162724111</v>
      </c>
      <c r="BO8" s="13">
        <v>2.8551686160991401</v>
      </c>
      <c r="BP8" s="13">
        <v>2.8532778182259202</v>
      </c>
      <c r="BQ8" s="13">
        <v>2.8766732544002802</v>
      </c>
      <c r="BR8" s="13">
        <v>2.8982648495135899</v>
      </c>
      <c r="BS8" s="13">
        <v>2.9160216774221999</v>
      </c>
      <c r="BT8" s="13">
        <v>2.9654626403941302</v>
      </c>
      <c r="BU8" s="13">
        <v>3.0081548337632902</v>
      </c>
      <c r="BV8" s="13">
        <v>3.0630482422248799</v>
      </c>
      <c r="BW8" s="13">
        <v>3.1259030163817498</v>
      </c>
      <c r="BX8" s="13">
        <v>3.2014215237569101</v>
      </c>
      <c r="BY8" s="13">
        <v>3.2421852795932899</v>
      </c>
      <c r="BZ8" s="13">
        <v>3.28097034676113</v>
      </c>
      <c r="CA8" s="13">
        <v>3.3147673493876102</v>
      </c>
      <c r="CB8" s="13">
        <v>3.3342442670690202</v>
      </c>
      <c r="CC8" s="13">
        <v>3.3575240050477801</v>
      </c>
      <c r="CD8" s="13">
        <v>3.3819769082909898</v>
      </c>
      <c r="CE8" s="13">
        <v>3.4050737208242499</v>
      </c>
      <c r="CF8" s="13">
        <v>3.4235125377062201</v>
      </c>
      <c r="CG8" s="13">
        <v>3.4450513542515901</v>
      </c>
      <c r="CH8" s="13">
        <v>3.46875440874557</v>
      </c>
      <c r="CI8" s="13">
        <v>3.4882052868706701</v>
      </c>
      <c r="CJ8" s="13">
        <v>3.5079404569764301</v>
      </c>
      <c r="CK8" s="13">
        <v>3.52720160365971</v>
      </c>
      <c r="CL8" s="13">
        <v>3.5476099886222801</v>
      </c>
      <c r="CM8" s="13">
        <v>3.56843780489451</v>
      </c>
      <c r="CN8" s="13">
        <v>3.5885155982193702</v>
      </c>
      <c r="CO8" s="13">
        <v>3.6085155243706</v>
      </c>
      <c r="CP8" s="13">
        <v>3.6288578979966402</v>
      </c>
      <c r="CQ8" s="13">
        <v>3.6502636785569198</v>
      </c>
      <c r="CR8" s="13">
        <v>3.6714830563818301</v>
      </c>
      <c r="CS8" s="13">
        <v>3.6917467571563201</v>
      </c>
      <c r="CT8" s="13">
        <v>3.7124949401037699</v>
      </c>
    </row>
    <row r="9" spans="1:98" x14ac:dyDescent="0.2">
      <c r="A9" s="6" t="s">
        <v>107</v>
      </c>
      <c r="B9" s="6" t="s">
        <v>108</v>
      </c>
      <c r="C9" s="13">
        <v>2.03516971038266</v>
      </c>
      <c r="D9" s="13">
        <v>2.0603243586248499</v>
      </c>
      <c r="E9" s="13">
        <v>2.0653694065802699</v>
      </c>
      <c r="F9" s="13">
        <v>2.0874807762832099</v>
      </c>
      <c r="G9" s="13">
        <v>2.1050400482010199</v>
      </c>
      <c r="H9" s="13">
        <v>2.1154192603458899</v>
      </c>
      <c r="I9" s="13">
        <v>2.1518068200870601</v>
      </c>
      <c r="J9" s="13">
        <v>2.1707783725541501</v>
      </c>
      <c r="K9" s="13">
        <v>2.18783691981761</v>
      </c>
      <c r="L9" s="13">
        <v>2.2132586941521701</v>
      </c>
      <c r="M9" s="13">
        <v>2.2359257447920902</v>
      </c>
      <c r="N9" s="13">
        <v>2.2211869184724802</v>
      </c>
      <c r="O9" s="13">
        <v>2.2326241842019399</v>
      </c>
      <c r="P9" s="13">
        <v>2.25901750728924</v>
      </c>
      <c r="Q9" s="13">
        <v>2.2765164106308</v>
      </c>
      <c r="R9" s="13">
        <v>2.30291395940545</v>
      </c>
      <c r="S9" s="13">
        <v>2.3203732479405201</v>
      </c>
      <c r="T9" s="13">
        <v>2.3642172164480799</v>
      </c>
      <c r="U9" s="13">
        <v>2.4053168355103001</v>
      </c>
      <c r="V9" s="13">
        <v>2.3519755124970101</v>
      </c>
      <c r="W9" s="13">
        <v>2.3408422306286298</v>
      </c>
      <c r="X9" s="13">
        <v>2.3474188487574099</v>
      </c>
      <c r="Y9" s="13">
        <v>2.36722788639723</v>
      </c>
      <c r="Z9" s="13">
        <v>2.38170796623861</v>
      </c>
      <c r="AA9" s="13">
        <v>2.37977560548517</v>
      </c>
      <c r="AB9" s="13">
        <v>2.3845469305921401</v>
      </c>
      <c r="AC9" s="13">
        <v>2.3990494738484398</v>
      </c>
      <c r="AD9" s="13">
        <v>2.4227910394257499</v>
      </c>
      <c r="AE9" s="13">
        <v>2.4330498565991299</v>
      </c>
      <c r="AF9" s="13">
        <v>2.4782592908991101</v>
      </c>
      <c r="AG9" s="13">
        <v>2.48958598393371</v>
      </c>
      <c r="AH9" s="13">
        <v>2.4982528033804701</v>
      </c>
      <c r="AI9" s="13">
        <v>2.5146494553159999</v>
      </c>
      <c r="AJ9" s="13">
        <v>2.52107076869803</v>
      </c>
      <c r="AK9" s="13">
        <v>2.5313114193711401</v>
      </c>
      <c r="AL9" s="13">
        <v>2.5519818070473299</v>
      </c>
      <c r="AM9" s="13">
        <v>2.5588970948066301</v>
      </c>
      <c r="AN9" s="13">
        <v>2.5563607318916199</v>
      </c>
      <c r="AO9" s="13">
        <v>2.5757018498037501</v>
      </c>
      <c r="AP9" s="13">
        <v>2.5903118852466198</v>
      </c>
      <c r="AQ9" s="13">
        <v>2.5984834377108701</v>
      </c>
      <c r="AR9" s="13">
        <v>2.6097667453760698</v>
      </c>
      <c r="AS9" s="13">
        <v>2.6162580136308198</v>
      </c>
      <c r="AT9" s="13">
        <v>2.6185435816407101</v>
      </c>
      <c r="AU9" s="13">
        <v>2.6130742036410601</v>
      </c>
      <c r="AV9" s="13">
        <v>2.6248654931503501</v>
      </c>
      <c r="AW9" s="13">
        <v>2.6210903132751202</v>
      </c>
      <c r="AX9" s="13">
        <v>2.62812001494735</v>
      </c>
      <c r="AY9" s="13">
        <v>2.6195672059792101</v>
      </c>
      <c r="AZ9" s="13">
        <v>2.6445845101286198</v>
      </c>
      <c r="BA9" s="13">
        <v>2.6645119184811499</v>
      </c>
      <c r="BB9" s="13">
        <v>2.6793127669589998</v>
      </c>
      <c r="BC9" s="13">
        <v>2.69196801581622</v>
      </c>
      <c r="BD9" s="13">
        <v>2.6963999173151398</v>
      </c>
      <c r="BE9" s="13">
        <v>2.70820199309592</v>
      </c>
      <c r="BF9" s="13">
        <v>2.7228199938442401</v>
      </c>
      <c r="BG9" s="13">
        <v>2.7581855200157999</v>
      </c>
      <c r="BH9" s="13">
        <v>2.7725868388914199</v>
      </c>
      <c r="BI9" s="13">
        <v>2.7794261240196301</v>
      </c>
      <c r="BJ9" s="13">
        <v>2.79252284616837</v>
      </c>
      <c r="BK9" s="13">
        <v>2.80204068249218</v>
      </c>
      <c r="BL9" s="13">
        <v>2.8122450644763202</v>
      </c>
      <c r="BM9" s="13">
        <v>2.8300584393122699</v>
      </c>
      <c r="BN9" s="13">
        <v>2.84208162724111</v>
      </c>
      <c r="BO9" s="13">
        <v>2.8551686160991401</v>
      </c>
      <c r="BP9" s="13">
        <v>2.8532778182259202</v>
      </c>
      <c r="BQ9" s="13">
        <v>2.8766732544002802</v>
      </c>
      <c r="BR9" s="13">
        <v>2.8982648495135899</v>
      </c>
      <c r="BS9" s="13">
        <v>2.9160216774221999</v>
      </c>
      <c r="BT9" s="13">
        <v>2.9654626403941302</v>
      </c>
      <c r="BU9" s="13">
        <v>3.0081548337632902</v>
      </c>
      <c r="BV9" s="13">
        <v>3.0630482422248799</v>
      </c>
      <c r="BW9" s="13">
        <v>3.1259030163817498</v>
      </c>
      <c r="BX9" s="13">
        <v>3.2014215237569101</v>
      </c>
      <c r="BY9" s="13">
        <v>3.2255363055134101</v>
      </c>
      <c r="BZ9" s="13">
        <v>3.2598916230874599</v>
      </c>
      <c r="CA9" s="13">
        <v>3.2891346677534301</v>
      </c>
      <c r="CB9" s="13">
        <v>3.30621025530152</v>
      </c>
      <c r="CC9" s="13">
        <v>3.3272304548242801</v>
      </c>
      <c r="CD9" s="13">
        <v>3.3506000676307002</v>
      </c>
      <c r="CE9" s="13">
        <v>3.3713855548821599</v>
      </c>
      <c r="CF9" s="13">
        <v>3.3883014039568402</v>
      </c>
      <c r="CG9" s="13">
        <v>3.4080858525713902</v>
      </c>
      <c r="CH9" s="13">
        <v>3.42941797508669</v>
      </c>
      <c r="CI9" s="13">
        <v>3.4464785567767202</v>
      </c>
      <c r="CJ9" s="13">
        <v>3.46378925221474</v>
      </c>
      <c r="CK9" s="13">
        <v>3.4809094361872699</v>
      </c>
      <c r="CL9" s="13">
        <v>3.4992140517661001</v>
      </c>
      <c r="CM9" s="13">
        <v>3.5178797103848898</v>
      </c>
      <c r="CN9" s="13">
        <v>3.53579934508278</v>
      </c>
      <c r="CO9" s="13">
        <v>3.5537903995520801</v>
      </c>
      <c r="CP9" s="13">
        <v>3.5722371267770701</v>
      </c>
      <c r="CQ9" s="13">
        <v>3.5919469703646798</v>
      </c>
      <c r="CR9" s="13">
        <v>3.6114642330203099</v>
      </c>
      <c r="CS9" s="13">
        <v>3.6300819400814999</v>
      </c>
      <c r="CT9" s="13">
        <v>3.6492439952051701</v>
      </c>
    </row>
    <row r="10" spans="1:98" x14ac:dyDescent="0.2">
      <c r="A10" s="6" t="s">
        <v>109</v>
      </c>
      <c r="B10" s="6" t="s">
        <v>110</v>
      </c>
      <c r="C10" s="13">
        <v>2.03516971038266</v>
      </c>
      <c r="D10" s="13">
        <v>2.0603243586248499</v>
      </c>
      <c r="E10" s="13">
        <v>2.0653694065802699</v>
      </c>
      <c r="F10" s="13">
        <v>2.0874807762832099</v>
      </c>
      <c r="G10" s="13">
        <v>2.1050400482010199</v>
      </c>
      <c r="H10" s="13">
        <v>2.1154192603458899</v>
      </c>
      <c r="I10" s="13">
        <v>2.1518068200870601</v>
      </c>
      <c r="J10" s="13">
        <v>2.1707783725541501</v>
      </c>
      <c r="K10" s="13">
        <v>2.18783691981761</v>
      </c>
      <c r="L10" s="13">
        <v>2.2132586941521701</v>
      </c>
      <c r="M10" s="13">
        <v>2.2359257447920902</v>
      </c>
      <c r="N10" s="13">
        <v>2.2211869184724802</v>
      </c>
      <c r="O10" s="13">
        <v>2.2326241842019399</v>
      </c>
      <c r="P10" s="13">
        <v>2.25901750728924</v>
      </c>
      <c r="Q10" s="13">
        <v>2.2765164106308</v>
      </c>
      <c r="R10" s="13">
        <v>2.30291395940545</v>
      </c>
      <c r="S10" s="13">
        <v>2.3203732479405201</v>
      </c>
      <c r="T10" s="13">
        <v>2.3642172164480799</v>
      </c>
      <c r="U10" s="13">
        <v>2.4053168355103001</v>
      </c>
      <c r="V10" s="13">
        <v>2.3519755124970101</v>
      </c>
      <c r="W10" s="13">
        <v>2.3408422306286298</v>
      </c>
      <c r="X10" s="13">
        <v>2.3474188487574099</v>
      </c>
      <c r="Y10" s="13">
        <v>2.36722788639723</v>
      </c>
      <c r="Z10" s="13">
        <v>2.38170796623861</v>
      </c>
      <c r="AA10" s="13">
        <v>2.37977560548517</v>
      </c>
      <c r="AB10" s="13">
        <v>2.3845469305921401</v>
      </c>
      <c r="AC10" s="13">
        <v>2.3990494738484398</v>
      </c>
      <c r="AD10" s="13">
        <v>2.4227910394257499</v>
      </c>
      <c r="AE10" s="13">
        <v>2.4330498565991299</v>
      </c>
      <c r="AF10" s="13">
        <v>2.4782592908991101</v>
      </c>
      <c r="AG10" s="13">
        <v>2.48958598393371</v>
      </c>
      <c r="AH10" s="13">
        <v>2.4982528033804701</v>
      </c>
      <c r="AI10" s="13">
        <v>2.5146494553159999</v>
      </c>
      <c r="AJ10" s="13">
        <v>2.52107076869803</v>
      </c>
      <c r="AK10" s="13">
        <v>2.5313114193711401</v>
      </c>
      <c r="AL10" s="13">
        <v>2.5519818070473299</v>
      </c>
      <c r="AM10" s="13">
        <v>2.5588970948066301</v>
      </c>
      <c r="AN10" s="13">
        <v>2.5563607318916199</v>
      </c>
      <c r="AO10" s="13">
        <v>2.5757018498037501</v>
      </c>
      <c r="AP10" s="13">
        <v>2.5903118852466198</v>
      </c>
      <c r="AQ10" s="13">
        <v>2.5984834377108701</v>
      </c>
      <c r="AR10" s="13">
        <v>2.6097667453760698</v>
      </c>
      <c r="AS10" s="13">
        <v>2.6162580136308198</v>
      </c>
      <c r="AT10" s="13">
        <v>2.6185435816407101</v>
      </c>
      <c r="AU10" s="13">
        <v>2.6130742036410601</v>
      </c>
      <c r="AV10" s="13">
        <v>2.6248654931503501</v>
      </c>
      <c r="AW10" s="13">
        <v>2.6210903132751202</v>
      </c>
      <c r="AX10" s="13">
        <v>2.62812001494735</v>
      </c>
      <c r="AY10" s="13">
        <v>2.6195672059792101</v>
      </c>
      <c r="AZ10" s="13">
        <v>2.6445845101286198</v>
      </c>
      <c r="BA10" s="13">
        <v>2.6645119184811499</v>
      </c>
      <c r="BB10" s="13">
        <v>2.6793127669589998</v>
      </c>
      <c r="BC10" s="13">
        <v>2.69196801581622</v>
      </c>
      <c r="BD10" s="13">
        <v>2.6963999173151398</v>
      </c>
      <c r="BE10" s="13">
        <v>2.70820199309592</v>
      </c>
      <c r="BF10" s="13">
        <v>2.7228199938442401</v>
      </c>
      <c r="BG10" s="13">
        <v>2.7581855200157999</v>
      </c>
      <c r="BH10" s="13">
        <v>2.7725868388914199</v>
      </c>
      <c r="BI10" s="13">
        <v>2.7794261240196301</v>
      </c>
      <c r="BJ10" s="13">
        <v>2.79252284616837</v>
      </c>
      <c r="BK10" s="13">
        <v>2.80204068249218</v>
      </c>
      <c r="BL10" s="13">
        <v>2.8122450644763202</v>
      </c>
      <c r="BM10" s="13">
        <v>2.8300584393122699</v>
      </c>
      <c r="BN10" s="13">
        <v>2.84208162724111</v>
      </c>
      <c r="BO10" s="13">
        <v>2.8551686160991401</v>
      </c>
      <c r="BP10" s="13">
        <v>2.8532778182259202</v>
      </c>
      <c r="BQ10" s="13">
        <v>2.8766732544002802</v>
      </c>
      <c r="BR10" s="13">
        <v>2.8982648495135899</v>
      </c>
      <c r="BS10" s="13">
        <v>2.9160216774221999</v>
      </c>
      <c r="BT10" s="13">
        <v>2.9654626403941302</v>
      </c>
      <c r="BU10" s="13">
        <v>3.0081548337632902</v>
      </c>
      <c r="BV10" s="13">
        <v>3.0630482422248799</v>
      </c>
      <c r="BW10" s="13">
        <v>3.1259030163817498</v>
      </c>
      <c r="BX10" s="13">
        <v>3.2014215237569101</v>
      </c>
      <c r="BY10" s="13">
        <v>3.2538360600876799</v>
      </c>
      <c r="BZ10" s="13">
        <v>3.3031965097870799</v>
      </c>
      <c r="CA10" s="13">
        <v>3.3480395194667398</v>
      </c>
      <c r="CB10" s="13">
        <v>3.3772072582577199</v>
      </c>
      <c r="CC10" s="13">
        <v>3.4094675504554299</v>
      </c>
      <c r="CD10" s="13">
        <v>3.4424749536492398</v>
      </c>
      <c r="CE10" s="13">
        <v>3.4743211894451802</v>
      </c>
      <c r="CF10" s="13">
        <v>3.5006039732964802</v>
      </c>
      <c r="CG10" s="13">
        <v>3.5303989876569202</v>
      </c>
      <c r="CH10" s="13">
        <v>3.5628674447020598</v>
      </c>
      <c r="CI10" s="13">
        <v>3.5914669049492498</v>
      </c>
      <c r="CJ10" s="13">
        <v>3.6209181772272898</v>
      </c>
      <c r="CK10" s="13">
        <v>3.6499561132707901</v>
      </c>
      <c r="CL10" s="13">
        <v>3.6803370088943401</v>
      </c>
      <c r="CM10" s="13">
        <v>3.7115944324369101</v>
      </c>
      <c r="CN10" s="13">
        <v>3.7424449232069499</v>
      </c>
      <c r="CO10" s="13">
        <v>3.7735168503534799</v>
      </c>
      <c r="CP10" s="13">
        <v>3.8051953825342602</v>
      </c>
      <c r="CQ10" s="13">
        <v>3.8381085422962502</v>
      </c>
      <c r="CR10" s="13">
        <v>3.8709313876845499</v>
      </c>
      <c r="CS10" s="13">
        <v>3.9029692393289599</v>
      </c>
      <c r="CT10" s="13">
        <v>3.9358493172804301</v>
      </c>
    </row>
    <row r="12" spans="1:98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98" x14ac:dyDescent="0.2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98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BX14" s="15" t="s">
        <v>111</v>
      </c>
      <c r="BY14" s="16"/>
      <c r="BZ14" s="16"/>
      <c r="CA14" s="17" t="s">
        <v>112</v>
      </c>
      <c r="CB14" s="18"/>
      <c r="CC14" s="18"/>
      <c r="CD14" s="18"/>
      <c r="CE14" s="18"/>
      <c r="CF14" s="18"/>
      <c r="CG14" s="16"/>
      <c r="CH14" s="16"/>
      <c r="CI14" s="16"/>
    </row>
    <row r="15" spans="1:98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BX15" s="19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1"/>
    </row>
    <row r="16" spans="1:98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BX16" s="22"/>
      <c r="BY16" s="23" t="s">
        <v>113</v>
      </c>
      <c r="BZ16" s="24" t="s">
        <v>114</v>
      </c>
      <c r="CA16" s="16"/>
      <c r="CB16" s="16"/>
      <c r="CC16" s="16"/>
      <c r="CD16" s="16"/>
      <c r="CE16" s="16"/>
      <c r="CF16" s="16"/>
      <c r="CG16" s="16"/>
      <c r="CH16" s="16"/>
      <c r="CI16" s="25"/>
    </row>
    <row r="17" spans="3:87" x14ac:dyDescent="0.2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BX17" s="22"/>
      <c r="BY17" s="16"/>
      <c r="BZ17" s="27" t="str">
        <f>CB7</f>
        <v>2023Q2</v>
      </c>
      <c r="CA17" s="16"/>
      <c r="CB17" s="16"/>
      <c r="CC17" s="16"/>
      <c r="CD17" s="16"/>
      <c r="CE17" s="16"/>
      <c r="CF17" s="16"/>
      <c r="CG17" s="16"/>
      <c r="CH17" s="16"/>
      <c r="CI17" s="28" t="s">
        <v>115</v>
      </c>
    </row>
    <row r="18" spans="3:87" x14ac:dyDescent="0.2">
      <c r="BX18" s="22"/>
      <c r="BY18" s="16"/>
      <c r="BZ18" s="29">
        <f>CB9</f>
        <v>3.30621025530152</v>
      </c>
      <c r="CA18" s="16"/>
      <c r="CB18" s="16"/>
      <c r="CC18" s="16"/>
      <c r="CD18" s="16"/>
      <c r="CE18" s="16"/>
      <c r="CF18" s="16"/>
      <c r="CG18" s="16"/>
      <c r="CH18" s="16"/>
      <c r="CI18" s="30">
        <f>BZ18</f>
        <v>3.30621025530152</v>
      </c>
    </row>
    <row r="19" spans="3:87" x14ac:dyDescent="0.2">
      <c r="BX19" s="22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31"/>
    </row>
    <row r="20" spans="3:87" x14ac:dyDescent="0.2">
      <c r="BX20" s="1050" t="s">
        <v>116</v>
      </c>
      <c r="BY20" s="1051"/>
      <c r="BZ20" s="1051"/>
      <c r="CA20" s="16" t="s">
        <v>117</v>
      </c>
      <c r="CB20" s="16"/>
      <c r="CC20" s="16"/>
      <c r="CD20" s="16"/>
      <c r="CE20" s="16"/>
      <c r="CF20" s="16"/>
      <c r="CG20" s="16"/>
      <c r="CH20" s="16"/>
      <c r="CI20" s="31"/>
    </row>
    <row r="21" spans="3:87" x14ac:dyDescent="0.2">
      <c r="BX21" s="32"/>
      <c r="BY21" s="23"/>
      <c r="BZ21" s="6" t="str">
        <f>CC7</f>
        <v>2023Q3</v>
      </c>
      <c r="CA21" s="6" t="str">
        <f t="shared" ref="CA21:CG21" si="0">CD7</f>
        <v>2023Q4</v>
      </c>
      <c r="CB21" s="6" t="str">
        <f t="shared" si="0"/>
        <v>2024Q1</v>
      </c>
      <c r="CC21" s="6" t="str">
        <f t="shared" si="0"/>
        <v>2024Q2</v>
      </c>
      <c r="CD21" s="6" t="str">
        <f t="shared" si="0"/>
        <v>2024Q3</v>
      </c>
      <c r="CE21" s="6" t="str">
        <f t="shared" si="0"/>
        <v>2024Q4</v>
      </c>
      <c r="CF21" s="6" t="str">
        <f t="shared" si="0"/>
        <v>2025Q1</v>
      </c>
      <c r="CG21" s="6" t="str">
        <f t="shared" si="0"/>
        <v>2025Q2</v>
      </c>
      <c r="CH21" s="16"/>
      <c r="CI21" s="31"/>
    </row>
    <row r="22" spans="3:87" x14ac:dyDescent="0.2">
      <c r="BX22" s="22"/>
      <c r="BY22" s="16"/>
      <c r="BZ22" s="13">
        <f>CC9</f>
        <v>3.3272304548242801</v>
      </c>
      <c r="CA22" s="13">
        <f t="shared" ref="CA22:CG22" si="1">CD9</f>
        <v>3.3506000676307002</v>
      </c>
      <c r="CB22" s="13">
        <f t="shared" si="1"/>
        <v>3.3713855548821599</v>
      </c>
      <c r="CC22" s="13">
        <f t="shared" si="1"/>
        <v>3.3883014039568402</v>
      </c>
      <c r="CD22" s="13">
        <f t="shared" si="1"/>
        <v>3.4080858525713902</v>
      </c>
      <c r="CE22" s="13">
        <f t="shared" si="1"/>
        <v>3.42941797508669</v>
      </c>
      <c r="CF22" s="13">
        <f t="shared" si="1"/>
        <v>3.4464785567767202</v>
      </c>
      <c r="CG22" s="13">
        <f t="shared" si="1"/>
        <v>3.46378925221474</v>
      </c>
      <c r="CH22" s="16"/>
      <c r="CI22" s="30">
        <f>AVERAGE(BZ22:CG22)</f>
        <v>3.3981611397429399</v>
      </c>
    </row>
    <row r="23" spans="3:87" x14ac:dyDescent="0.2">
      <c r="BX23" s="22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31"/>
    </row>
    <row r="24" spans="3:87" x14ac:dyDescent="0.2">
      <c r="BX24" s="22"/>
      <c r="BY24" s="16"/>
      <c r="BZ24" s="16"/>
      <c r="CA24" s="16"/>
      <c r="CB24" s="16"/>
      <c r="CC24" s="16"/>
      <c r="CD24" s="16"/>
      <c r="CE24" s="16"/>
      <c r="CF24" s="16"/>
      <c r="CG24" s="16"/>
      <c r="CH24" s="33" t="s">
        <v>118</v>
      </c>
      <c r="CI24" s="34">
        <f>(CI22-CI18)/CI18</f>
        <v>2.7811565914169036E-2</v>
      </c>
    </row>
    <row r="25" spans="3:87" x14ac:dyDescent="0.2">
      <c r="BX25" s="35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7"/>
    </row>
    <row r="28" spans="3:87" x14ac:dyDescent="0.2">
      <c r="CD28" s="1" t="s">
        <v>119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6B68-8755-45DD-AE9F-EC0B418457FF}">
  <sheetPr>
    <pageSetUpPr fitToPage="1"/>
  </sheetPr>
  <dimension ref="A1:J109"/>
  <sheetViews>
    <sheetView zoomScaleNormal="100" zoomScaleSheetLayoutView="100" workbookViewId="0">
      <selection activeCell="E22" sqref="E22"/>
    </sheetView>
  </sheetViews>
  <sheetFormatPr defaultColWidth="9.1406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14.140625" style="120" customWidth="1"/>
    <col min="6" max="6" width="34.5703125" style="120" customWidth="1"/>
    <col min="7" max="7" width="12" style="120" customWidth="1"/>
    <col min="8" max="8" width="7.7109375" style="120" bestFit="1" customWidth="1"/>
    <col min="9" max="9" width="53.5703125" style="120" customWidth="1"/>
    <col min="10" max="10" width="43" style="120" customWidth="1"/>
    <col min="11" max="11" width="25.85546875" style="120" customWidth="1"/>
    <col min="12" max="16384" width="9.140625" style="120"/>
  </cols>
  <sheetData>
    <row r="1" spans="1:10" ht="15" customHeight="1" thickBot="1" x14ac:dyDescent="0.25">
      <c r="A1" s="909" t="s">
        <v>162</v>
      </c>
      <c r="B1" s="910"/>
      <c r="C1" s="910"/>
      <c r="D1" s="911"/>
    </row>
    <row r="2" spans="1:10" ht="13.5" customHeight="1" thickBot="1" x14ac:dyDescent="0.25">
      <c r="A2" s="912" t="s">
        <v>227</v>
      </c>
      <c r="B2" s="927"/>
      <c r="C2" s="927"/>
      <c r="D2" s="928"/>
      <c r="E2" s="200"/>
      <c r="F2" s="921" t="s">
        <v>164</v>
      </c>
      <c r="G2" s="921"/>
      <c r="H2" s="921"/>
      <c r="I2" s="921"/>
    </row>
    <row r="3" spans="1:10" ht="12.95" customHeight="1" thickBot="1" x14ac:dyDescent="0.25">
      <c r="A3" s="122" t="s">
        <v>165</v>
      </c>
      <c r="B3" s="200">
        <v>9</v>
      </c>
      <c r="C3" s="200" t="s">
        <v>166</v>
      </c>
      <c r="D3" s="220">
        <f>B3*365</f>
        <v>3285</v>
      </c>
      <c r="E3" s="241"/>
    </row>
    <row r="4" spans="1:10" ht="13.5" thickBot="1" x14ac:dyDescent="0.25">
      <c r="A4" s="174"/>
      <c r="B4" s="175"/>
      <c r="C4" s="175" t="s">
        <v>169</v>
      </c>
      <c r="D4" s="208" t="s">
        <v>170</v>
      </c>
      <c r="F4" s="124" t="s">
        <v>167</v>
      </c>
      <c r="G4" s="922" t="s">
        <v>168</v>
      </c>
      <c r="H4" s="922"/>
      <c r="I4" s="125"/>
    </row>
    <row r="5" spans="1:10" x14ac:dyDescent="0.2">
      <c r="A5" s="126" t="s">
        <v>172</v>
      </c>
      <c r="C5" s="277">
        <v>1.5</v>
      </c>
      <c r="D5" s="135">
        <v>103418.02</v>
      </c>
      <c r="E5" s="128"/>
      <c r="F5" s="122"/>
      <c r="G5" s="128" t="s">
        <v>156</v>
      </c>
      <c r="H5" s="129" t="s">
        <v>157</v>
      </c>
      <c r="I5" s="130"/>
    </row>
    <row r="6" spans="1:10" ht="15" customHeight="1" x14ac:dyDescent="0.2">
      <c r="A6" s="126" t="s">
        <v>177</v>
      </c>
      <c r="B6" s="134"/>
      <c r="C6" s="218">
        <v>1.845</v>
      </c>
      <c r="D6" s="135">
        <v>175598.64</v>
      </c>
      <c r="E6" s="134"/>
      <c r="F6" s="126" t="s">
        <v>171</v>
      </c>
      <c r="G6" s="121">
        <v>15</v>
      </c>
      <c r="H6" s="121">
        <f>G6*8</f>
        <v>120</v>
      </c>
      <c r="I6" s="130"/>
    </row>
    <row r="7" spans="1:10" ht="13.35" customHeight="1" x14ac:dyDescent="0.2">
      <c r="A7" s="126" t="s">
        <v>220</v>
      </c>
      <c r="B7" s="134"/>
      <c r="C7" s="218">
        <v>19.017499999999998</v>
      </c>
      <c r="D7" s="135">
        <v>802881.35</v>
      </c>
      <c r="E7" s="134"/>
      <c r="F7" s="126" t="s">
        <v>173</v>
      </c>
      <c r="G7" s="121">
        <v>8</v>
      </c>
      <c r="H7" s="121">
        <f>G7*8</f>
        <v>64</v>
      </c>
      <c r="I7" s="130"/>
    </row>
    <row r="8" spans="1:10" ht="17.45" customHeight="1" x14ac:dyDescent="0.2">
      <c r="A8" s="153" t="s">
        <v>187</v>
      </c>
      <c r="B8" s="154"/>
      <c r="C8" s="193">
        <f>SUM(C5:C7)</f>
        <v>22.362499999999997</v>
      </c>
      <c r="D8" s="155">
        <f>SUM(D5:D7)</f>
        <v>1081898.01</v>
      </c>
      <c r="E8" s="246"/>
      <c r="F8" s="126" t="s">
        <v>174</v>
      </c>
      <c r="G8" s="121">
        <v>11</v>
      </c>
      <c r="H8" s="121">
        <f>G8*8</f>
        <v>88</v>
      </c>
      <c r="I8" s="136" t="s">
        <v>493</v>
      </c>
    </row>
    <row r="9" spans="1:10" ht="13.5" customHeight="1" x14ac:dyDescent="0.2">
      <c r="A9" s="122" t="s">
        <v>229</v>
      </c>
      <c r="C9" s="200" t="s">
        <v>189</v>
      </c>
      <c r="D9" s="127"/>
      <c r="E9" s="238"/>
      <c r="F9" s="137" t="s">
        <v>176</v>
      </c>
      <c r="G9" s="138">
        <v>5</v>
      </c>
      <c r="H9" s="138">
        <f>G9*8</f>
        <v>40</v>
      </c>
      <c r="I9" s="139"/>
      <c r="J9" s="140"/>
    </row>
    <row r="10" spans="1:10" x14ac:dyDescent="0.2">
      <c r="A10" s="126" t="s">
        <v>192</v>
      </c>
      <c r="B10" s="156">
        <f>H39</f>
        <v>0.25390000000000001</v>
      </c>
      <c r="D10" s="135">
        <f>B10*D8</f>
        <v>274693.90473900002</v>
      </c>
      <c r="F10" s="126"/>
      <c r="G10" s="141" t="s">
        <v>161</v>
      </c>
      <c r="H10" s="121">
        <f>SUM(H6:H9)</f>
        <v>312</v>
      </c>
      <c r="I10" s="142"/>
    </row>
    <row r="11" spans="1:10" ht="13.5" thickBot="1" x14ac:dyDescent="0.25">
      <c r="A11" s="126" t="s">
        <v>483</v>
      </c>
      <c r="B11" s="156">
        <f>H45</f>
        <v>2.7812E-2</v>
      </c>
      <c r="D11" s="135">
        <f>(D8+D10)*B11</f>
        <v>37729.534332721072</v>
      </c>
      <c r="E11" s="134"/>
      <c r="F11" s="144"/>
      <c r="G11" s="145" t="s">
        <v>178</v>
      </c>
      <c r="H11" s="146">
        <f>H10/(52*40)</f>
        <v>0.15</v>
      </c>
      <c r="I11" s="147"/>
    </row>
    <row r="12" spans="1:10" x14ac:dyDescent="0.2">
      <c r="A12" s="153" t="s">
        <v>194</v>
      </c>
      <c r="B12" s="154"/>
      <c r="C12" s="157"/>
      <c r="D12" s="155">
        <f>SUM(D8:D11)</f>
        <v>1394321.4490717212</v>
      </c>
      <c r="E12" s="238"/>
      <c r="G12" s="224"/>
      <c r="H12" s="148"/>
      <c r="I12" s="149"/>
    </row>
    <row r="13" spans="1:10" ht="13.5" thickBot="1" x14ac:dyDescent="0.25">
      <c r="A13" s="126" t="s">
        <v>216</v>
      </c>
      <c r="C13" s="158">
        <f>H40</f>
        <v>30.57</v>
      </c>
      <c r="D13" s="159">
        <f>C13*D3</f>
        <v>100422.45</v>
      </c>
      <c r="E13" s="242"/>
    </row>
    <row r="14" spans="1:10" ht="19.5" thickBot="1" x14ac:dyDescent="0.35">
      <c r="A14" s="126" t="s">
        <v>217</v>
      </c>
      <c r="C14" s="158">
        <f>H41</f>
        <v>25</v>
      </c>
      <c r="D14" s="159">
        <f>C14*D3</f>
        <v>82125</v>
      </c>
      <c r="E14" s="242"/>
      <c r="F14" s="923" t="s">
        <v>179</v>
      </c>
      <c r="G14" s="924"/>
      <c r="H14" s="924"/>
      <c r="I14" s="925"/>
    </row>
    <row r="15" spans="1:10" x14ac:dyDescent="0.2">
      <c r="A15" s="126" t="str">
        <f>F42</f>
        <v>Additional Training Expense</v>
      </c>
      <c r="C15" s="158">
        <f>H42</f>
        <v>1.25</v>
      </c>
      <c r="D15" s="159">
        <f>C15*D3</f>
        <v>4106.25</v>
      </c>
      <c r="E15" s="242"/>
      <c r="F15" s="932"/>
      <c r="G15" s="933"/>
      <c r="H15" s="933"/>
      <c r="I15" s="934"/>
    </row>
    <row r="16" spans="1:10" x14ac:dyDescent="0.2">
      <c r="A16" s="153" t="s">
        <v>198</v>
      </c>
      <c r="B16" s="154"/>
      <c r="C16" s="154"/>
      <c r="D16" s="155">
        <f>SUM(D12:D15)</f>
        <v>1580975.1490717211</v>
      </c>
      <c r="E16" s="238"/>
      <c r="F16" s="122" t="s">
        <v>172</v>
      </c>
      <c r="G16" s="134" t="s">
        <v>226</v>
      </c>
      <c r="I16" s="127"/>
    </row>
    <row r="17" spans="1:9" x14ac:dyDescent="0.2">
      <c r="A17" s="126" t="s">
        <v>199</v>
      </c>
      <c r="B17" s="156">
        <f>H44</f>
        <v>0.12</v>
      </c>
      <c r="D17" s="135">
        <f>(D16-D11)*B17</f>
        <v>185189.47376868001</v>
      </c>
      <c r="E17" s="134"/>
      <c r="F17" s="126" t="s">
        <v>180</v>
      </c>
      <c r="G17" s="237">
        <v>1</v>
      </c>
      <c r="I17" s="127" t="s">
        <v>181</v>
      </c>
    </row>
    <row r="18" spans="1:9" ht="13.5" thickBot="1" x14ac:dyDescent="0.25">
      <c r="A18" s="313" t="str">
        <f>F45</f>
        <v>CAF</v>
      </c>
      <c r="B18" s="235">
        <f>H45</f>
        <v>2.7812E-2</v>
      </c>
      <c r="C18" s="161"/>
      <c r="D18" s="162">
        <f>(D13+D14+D15)*B18</f>
        <v>5191.2127043999999</v>
      </c>
      <c r="E18" s="238"/>
      <c r="F18" s="126" t="s">
        <v>175</v>
      </c>
      <c r="G18" s="237">
        <v>0.5</v>
      </c>
      <c r="I18" s="127" t="s">
        <v>181</v>
      </c>
    </row>
    <row r="19" spans="1:9" ht="13.5" thickTop="1" x14ac:dyDescent="0.2">
      <c r="A19" s="200" t="s">
        <v>200</v>
      </c>
      <c r="D19" s="164">
        <f>SUM(D16:D18)</f>
        <v>1771355.8355448013</v>
      </c>
      <c r="E19" s="243"/>
      <c r="F19" s="122" t="s">
        <v>177</v>
      </c>
      <c r="G19" s="237"/>
      <c r="I19" s="127"/>
    </row>
    <row r="20" spans="1:9" x14ac:dyDescent="0.2">
      <c r="A20" s="126"/>
      <c r="D20" s="166" t="s">
        <v>201</v>
      </c>
      <c r="E20" s="240"/>
      <c r="F20" s="126" t="s">
        <v>183</v>
      </c>
      <c r="G20" s="237">
        <v>0.22500000000000001</v>
      </c>
      <c r="I20" s="127" t="s">
        <v>181</v>
      </c>
    </row>
    <row r="21" spans="1:9" ht="13.5" thickBot="1" x14ac:dyDescent="0.25">
      <c r="A21" s="126"/>
      <c r="B21" s="291" t="s">
        <v>225</v>
      </c>
      <c r="C21" s="167"/>
      <c r="D21" s="168">
        <f>D19/D3</f>
        <v>539.22552071379039</v>
      </c>
      <c r="E21" s="244"/>
      <c r="F21" s="126" t="s">
        <v>184</v>
      </c>
      <c r="G21" s="237">
        <v>0.18</v>
      </c>
      <c r="I21" s="127" t="s">
        <v>181</v>
      </c>
    </row>
    <row r="22" spans="1:9" ht="13.5" thickBot="1" x14ac:dyDescent="0.25">
      <c r="A22" s="170" t="s">
        <v>232</v>
      </c>
      <c r="B22" s="196">
        <v>0.8</v>
      </c>
      <c r="C22" s="171"/>
      <c r="D22" s="172">
        <f>D21/B22</f>
        <v>674.0319008922379</v>
      </c>
      <c r="E22" s="245"/>
      <c r="F22" s="152" t="s">
        <v>185</v>
      </c>
      <c r="G22" s="237">
        <v>0.33</v>
      </c>
      <c r="I22" s="127" t="s">
        <v>181</v>
      </c>
    </row>
    <row r="23" spans="1:9" ht="15" customHeight="1" thickBot="1" x14ac:dyDescent="0.25">
      <c r="F23" s="126" t="s">
        <v>186</v>
      </c>
      <c r="G23" s="237">
        <v>0.6</v>
      </c>
      <c r="I23" s="127" t="s">
        <v>181</v>
      </c>
    </row>
    <row r="24" spans="1:9" ht="27" customHeight="1" thickBot="1" x14ac:dyDescent="0.25">
      <c r="A24" s="909" t="s">
        <v>233</v>
      </c>
      <c r="B24" s="910"/>
      <c r="C24" s="910"/>
      <c r="D24" s="911"/>
      <c r="F24" s="152" t="s">
        <v>190</v>
      </c>
      <c r="G24" s="237">
        <v>0.18</v>
      </c>
      <c r="I24" s="127" t="s">
        <v>191</v>
      </c>
    </row>
    <row r="25" spans="1:9" ht="13.5" thickBot="1" x14ac:dyDescent="0.25">
      <c r="A25" s="929" t="s">
        <v>227</v>
      </c>
      <c r="B25" s="930"/>
      <c r="C25" s="930"/>
      <c r="D25" s="931"/>
      <c r="E25" s="200"/>
      <c r="F25" s="152" t="s">
        <v>193</v>
      </c>
      <c r="G25" s="237">
        <v>0.33</v>
      </c>
      <c r="I25" s="127" t="s">
        <v>181</v>
      </c>
    </row>
    <row r="26" spans="1:9" ht="13.5" thickBot="1" x14ac:dyDescent="0.25">
      <c r="A26" s="247"/>
      <c r="B26" s="248"/>
      <c r="C26" s="248"/>
      <c r="D26" s="249"/>
      <c r="E26" s="200"/>
      <c r="F26" s="122" t="s">
        <v>236</v>
      </c>
      <c r="G26" s="237"/>
      <c r="I26" s="127"/>
    </row>
    <row r="27" spans="1:9" x14ac:dyDescent="0.2">
      <c r="A27" s="122" t="s">
        <v>165</v>
      </c>
      <c r="B27" s="128">
        <v>9</v>
      </c>
      <c r="C27" s="200" t="s">
        <v>166</v>
      </c>
      <c r="D27" s="220">
        <f>B27*365</f>
        <v>3285</v>
      </c>
      <c r="E27" s="241"/>
      <c r="F27" s="126" t="s">
        <v>230</v>
      </c>
      <c r="G27" s="237">
        <v>0.67</v>
      </c>
      <c r="I27" s="127" t="s">
        <v>231</v>
      </c>
    </row>
    <row r="28" spans="1:9" x14ac:dyDescent="0.2">
      <c r="A28" s="221"/>
      <c r="B28" s="222"/>
      <c r="C28" s="222" t="s">
        <v>169</v>
      </c>
      <c r="D28" s="132" t="s">
        <v>170</v>
      </c>
      <c r="F28" s="126" t="s">
        <v>195</v>
      </c>
      <c r="G28" s="237">
        <v>1</v>
      </c>
      <c r="I28" s="127" t="s">
        <v>235</v>
      </c>
    </row>
    <row r="29" spans="1:9" ht="12.6" customHeight="1" x14ac:dyDescent="0.2">
      <c r="A29" s="250" t="s">
        <v>172</v>
      </c>
      <c r="C29" s="121">
        <f>C5</f>
        <v>1.5</v>
      </c>
      <c r="D29" s="135">
        <v>103418</v>
      </c>
      <c r="E29" s="128"/>
      <c r="F29" s="152" t="s">
        <v>197</v>
      </c>
      <c r="G29" s="237">
        <v>7.4999999999999997E-2</v>
      </c>
      <c r="I29" s="127" t="s">
        <v>181</v>
      </c>
    </row>
    <row r="30" spans="1:9" ht="12.95" customHeight="1" x14ac:dyDescent="0.2">
      <c r="A30" s="126" t="s">
        <v>177</v>
      </c>
      <c r="B30" s="134"/>
      <c r="C30" s="218">
        <f>C6+0.024</f>
        <v>1.869</v>
      </c>
      <c r="D30" s="135">
        <v>181777.39</v>
      </c>
      <c r="E30" s="134"/>
      <c r="F30" s="152" t="s">
        <v>182</v>
      </c>
      <c r="G30" s="237">
        <v>1</v>
      </c>
      <c r="I30" s="127" t="s">
        <v>181</v>
      </c>
    </row>
    <row r="31" spans="1:9" x14ac:dyDescent="0.2">
      <c r="A31" s="126" t="str">
        <f>A7</f>
        <v>Direct Service, Support and Relief Staff</v>
      </c>
      <c r="B31" s="134"/>
      <c r="C31" s="218">
        <f>C7-0.5</f>
        <v>18.517499999999998</v>
      </c>
      <c r="D31" s="135">
        <v>772633.99</v>
      </c>
      <c r="E31" s="134"/>
      <c r="F31" s="152" t="s">
        <v>228</v>
      </c>
      <c r="G31" s="237">
        <v>0.22</v>
      </c>
      <c r="I31" s="127" t="s">
        <v>181</v>
      </c>
    </row>
    <row r="32" spans="1:9" x14ac:dyDescent="0.2">
      <c r="A32" s="153" t="s">
        <v>187</v>
      </c>
      <c r="B32" s="154"/>
      <c r="C32" s="193">
        <f>SUM(C29:C31)</f>
        <v>21.886499999999998</v>
      </c>
      <c r="D32" s="155">
        <f>SUM(D29:D31)</f>
        <v>1057829.3799999999</v>
      </c>
      <c r="E32" s="134"/>
      <c r="F32" s="169" t="s">
        <v>202</v>
      </c>
      <c r="G32" s="237">
        <v>12.6</v>
      </c>
      <c r="I32" s="127" t="s">
        <v>181</v>
      </c>
    </row>
    <row r="33" spans="1:9" x14ac:dyDescent="0.2">
      <c r="A33" s="122" t="s">
        <v>229</v>
      </c>
      <c r="C33" s="128" t="s">
        <v>189</v>
      </c>
      <c r="D33" s="127"/>
      <c r="E33" s="238"/>
      <c r="F33" s="173" t="s">
        <v>203</v>
      </c>
      <c r="G33" s="237">
        <v>1</v>
      </c>
      <c r="I33" s="127" t="s">
        <v>181</v>
      </c>
    </row>
    <row r="34" spans="1:9" x14ac:dyDescent="0.2">
      <c r="A34" s="126" t="s">
        <v>192</v>
      </c>
      <c r="B34" s="156">
        <f>B10</f>
        <v>0.25390000000000001</v>
      </c>
      <c r="C34" s="121"/>
      <c r="D34" s="135">
        <f>B34*D32</f>
        <v>268582.87958199997</v>
      </c>
      <c r="F34" s="152" t="s">
        <v>204</v>
      </c>
      <c r="G34" s="237">
        <v>0.45</v>
      </c>
      <c r="I34" s="127" t="s">
        <v>181</v>
      </c>
    </row>
    <row r="35" spans="1:9" x14ac:dyDescent="0.2">
      <c r="A35" s="126" t="str">
        <f>A11</f>
        <v>CAF on Compensation</v>
      </c>
      <c r="B35" s="156">
        <v>2.7812E-2</v>
      </c>
      <c r="C35" s="121"/>
      <c r="D35" s="135">
        <f>(D32+D34)*B35</f>
        <v>36890.177763494583</v>
      </c>
      <c r="F35" s="152" t="s">
        <v>205</v>
      </c>
      <c r="G35" s="237">
        <v>0.11</v>
      </c>
      <c r="I35" s="127" t="s">
        <v>181</v>
      </c>
    </row>
    <row r="36" spans="1:9" x14ac:dyDescent="0.2">
      <c r="A36" s="153" t="s">
        <v>194</v>
      </c>
      <c r="B36" s="234"/>
      <c r="C36" s="157"/>
      <c r="D36" s="155">
        <f>SUM(D32:D35)</f>
        <v>1363302.4373454945</v>
      </c>
      <c r="E36" s="134"/>
      <c r="F36" s="126" t="s">
        <v>462</v>
      </c>
      <c r="G36" s="237">
        <v>1.89</v>
      </c>
      <c r="I36" s="127" t="s">
        <v>181</v>
      </c>
    </row>
    <row r="37" spans="1:9" x14ac:dyDescent="0.2">
      <c r="A37" s="126"/>
      <c r="B37" s="156"/>
      <c r="C37" s="121"/>
      <c r="D37" s="229"/>
      <c r="E37" s="238"/>
      <c r="F37" s="126"/>
      <c r="H37" s="134"/>
      <c r="I37" s="127"/>
    </row>
    <row r="38" spans="1:9" x14ac:dyDescent="0.2">
      <c r="A38" s="126" t="s">
        <v>216</v>
      </c>
      <c r="B38" s="156"/>
      <c r="C38" s="158">
        <f>C13</f>
        <v>30.57</v>
      </c>
      <c r="D38" s="159">
        <f>C38*D27</f>
        <v>100422.45</v>
      </c>
      <c r="E38" s="158"/>
      <c r="F38" s="906" t="s">
        <v>206</v>
      </c>
      <c r="G38" s="907"/>
      <c r="H38" s="907"/>
      <c r="I38" s="908"/>
    </row>
    <row r="39" spans="1:9" x14ac:dyDescent="0.2">
      <c r="A39" s="126" t="s">
        <v>217</v>
      </c>
      <c r="B39" s="156"/>
      <c r="C39" s="158">
        <f>C14</f>
        <v>25</v>
      </c>
      <c r="D39" s="159">
        <f>C39*D27</f>
        <v>82125</v>
      </c>
      <c r="E39" s="242"/>
      <c r="F39" s="126" t="s">
        <v>192</v>
      </c>
      <c r="H39" s="178">
        <v>0.25390000000000001</v>
      </c>
      <c r="I39" s="127" t="s">
        <v>207</v>
      </c>
    </row>
    <row r="40" spans="1:9" x14ac:dyDescent="0.2">
      <c r="A40" s="126" t="str">
        <f>A15</f>
        <v>Additional Training Expense</v>
      </c>
      <c r="C40" s="158">
        <f>C15</f>
        <v>1.25</v>
      </c>
      <c r="D40" s="159">
        <f>C40*D27</f>
        <v>4106.25</v>
      </c>
      <c r="E40" s="242"/>
      <c r="F40" s="126" t="str">
        <f>'[21]Master Data'!C37</f>
        <v>Occupancy</v>
      </c>
      <c r="H40" s="167">
        <v>30.57</v>
      </c>
      <c r="I40" s="127" t="s">
        <v>208</v>
      </c>
    </row>
    <row r="41" spans="1:9" x14ac:dyDescent="0.2">
      <c r="A41" s="153" t="s">
        <v>198</v>
      </c>
      <c r="B41" s="234"/>
      <c r="C41" s="154"/>
      <c r="D41" s="155">
        <f>SUM(D36:D40)</f>
        <v>1549956.1373454945</v>
      </c>
      <c r="E41" s="242"/>
      <c r="F41" s="126" t="str">
        <f>'[21]Master Data'!C38</f>
        <v>Programmatic expenses</v>
      </c>
      <c r="H41" s="167">
        <v>25</v>
      </c>
      <c r="I41" s="127" t="s">
        <v>209</v>
      </c>
    </row>
    <row r="42" spans="1:9" x14ac:dyDescent="0.2">
      <c r="A42" s="126" t="s">
        <v>199</v>
      </c>
      <c r="B42" s="156">
        <f>H44</f>
        <v>0.12</v>
      </c>
      <c r="D42" s="135">
        <f>(D41-D35)*B42</f>
        <v>181567.91514983997</v>
      </c>
      <c r="E42" s="238"/>
      <c r="F42" s="126" t="s">
        <v>210</v>
      </c>
      <c r="H42" s="202">
        <v>1.25</v>
      </c>
      <c r="I42" s="127" t="s">
        <v>211</v>
      </c>
    </row>
    <row r="43" spans="1:9" ht="13.5" thickBot="1" x14ac:dyDescent="0.25">
      <c r="A43" s="313" t="s">
        <v>137</v>
      </c>
      <c r="B43" s="235">
        <f>B18</f>
        <v>2.7812E-2</v>
      </c>
      <c r="C43" s="161"/>
      <c r="D43" s="162">
        <f>(D38+D39+D40)*B43</f>
        <v>5191.2127043999999</v>
      </c>
      <c r="E43" s="134"/>
      <c r="F43" s="179" t="s">
        <v>198</v>
      </c>
      <c r="G43" s="180"/>
      <c r="H43" s="181">
        <f>SUM(H40:H41)</f>
        <v>55.57</v>
      </c>
      <c r="I43" s="182"/>
    </row>
    <row r="44" spans="1:9" ht="12.75" customHeight="1" thickTop="1" x14ac:dyDescent="0.2">
      <c r="A44" s="122" t="s">
        <v>484</v>
      </c>
      <c r="B44" s="156"/>
      <c r="D44" s="164">
        <f>SUM(D41:D43)</f>
        <v>1736715.2651997346</v>
      </c>
      <c r="E44" s="238"/>
      <c r="F44" s="126" t="s">
        <v>199</v>
      </c>
      <c r="H44" s="178">
        <v>0.12</v>
      </c>
      <c r="I44" s="127" t="s">
        <v>213</v>
      </c>
    </row>
    <row r="45" spans="1:9" ht="13.5" thickBot="1" x14ac:dyDescent="0.25">
      <c r="A45" s="126"/>
      <c r="D45" s="166" t="s">
        <v>201</v>
      </c>
      <c r="E45" s="239"/>
      <c r="F45" s="144" t="s">
        <v>137</v>
      </c>
      <c r="G45" s="183"/>
      <c r="H45" s="184">
        <f>2.7812%</f>
        <v>2.7812E-2</v>
      </c>
      <c r="I45" s="185" t="s">
        <v>215</v>
      </c>
    </row>
    <row r="46" spans="1:9" ht="13.5" thickBot="1" x14ac:dyDescent="0.25">
      <c r="A46" s="126"/>
      <c r="B46" s="291" t="s">
        <v>225</v>
      </c>
      <c r="C46" s="214"/>
      <c r="D46" s="168">
        <f>D44/D27</f>
        <v>528.68044602731652</v>
      </c>
      <c r="E46" s="240"/>
    </row>
    <row r="47" spans="1:9" ht="13.5" thickBot="1" x14ac:dyDescent="0.25">
      <c r="A47" s="170" t="s">
        <v>234</v>
      </c>
      <c r="B47" s="196">
        <v>0.8</v>
      </c>
      <c r="C47" s="171"/>
      <c r="D47" s="172">
        <f>D46/B47</f>
        <v>660.85055753414565</v>
      </c>
      <c r="E47" s="214"/>
    </row>
    <row r="48" spans="1:9" x14ac:dyDescent="0.2">
      <c r="C48" s="167"/>
      <c r="D48" s="233"/>
      <c r="E48" s="245"/>
    </row>
    <row r="49" spans="1:5" x14ac:dyDescent="0.2">
      <c r="A49" s="176" t="s">
        <v>237</v>
      </c>
      <c r="E49" s="121"/>
    </row>
    <row r="50" spans="1:5" ht="12.75" customHeight="1" x14ac:dyDescent="0.2">
      <c r="E50" s="121"/>
    </row>
    <row r="51" spans="1:5" x14ac:dyDescent="0.2">
      <c r="E51" s="121"/>
    </row>
    <row r="52" spans="1:5" x14ac:dyDescent="0.2">
      <c r="E52" s="121"/>
    </row>
    <row r="53" spans="1:5" x14ac:dyDescent="0.2">
      <c r="E53" s="121"/>
    </row>
    <row r="54" spans="1:5" x14ac:dyDescent="0.2">
      <c r="E54" s="121"/>
    </row>
    <row r="55" spans="1:5" x14ac:dyDescent="0.2">
      <c r="E55" s="121"/>
    </row>
    <row r="56" spans="1:5" x14ac:dyDescent="0.2">
      <c r="E56" s="121"/>
    </row>
    <row r="57" spans="1:5" x14ac:dyDescent="0.2">
      <c r="E57" s="121"/>
    </row>
    <row r="58" spans="1:5" x14ac:dyDescent="0.2">
      <c r="E58" s="121"/>
    </row>
    <row r="59" spans="1:5" x14ac:dyDescent="0.2">
      <c r="E59" s="121"/>
    </row>
    <row r="66" spans="6:6" x14ac:dyDescent="0.2">
      <c r="F66" s="178"/>
    </row>
    <row r="67" spans="6:6" ht="13.35" customHeight="1" x14ac:dyDescent="0.2"/>
    <row r="68" spans="6:6" ht="15" customHeight="1" x14ac:dyDescent="0.2">
      <c r="F68" s="205"/>
    </row>
    <row r="73" spans="6:6" ht="12.75" customHeight="1" x14ac:dyDescent="0.2"/>
    <row r="103" ht="13.35" customHeight="1" x14ac:dyDescent="0.2"/>
    <row r="104" ht="15" customHeight="1" x14ac:dyDescent="0.2"/>
    <row r="109" ht="12.75" customHeight="1" x14ac:dyDescent="0.2"/>
  </sheetData>
  <mergeCells count="9">
    <mergeCell ref="F38:I38"/>
    <mergeCell ref="A2:D2"/>
    <mergeCell ref="A1:D1"/>
    <mergeCell ref="A25:D25"/>
    <mergeCell ref="A24:D24"/>
    <mergeCell ref="F2:I2"/>
    <mergeCell ref="G4:H4"/>
    <mergeCell ref="F14:I14"/>
    <mergeCell ref="F15:I15"/>
  </mergeCells>
  <pageMargins left="0.7" right="0.7" top="0.75" bottom="0.75" header="0.3" footer="0.3"/>
  <pageSetup scale="82" fitToHeight="0" orientation="portrait" r:id="rId1"/>
  <headerFooter>
    <oddFooter>&amp;R2016-04-12
&amp;A
Caring Together rate review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77C4-A3E7-4E61-8FE4-34A1F8B2DE76}">
  <sheetPr>
    <pageSetUpPr fitToPage="1"/>
  </sheetPr>
  <dimension ref="A1:J72"/>
  <sheetViews>
    <sheetView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17.140625" style="121" customWidth="1"/>
    <col min="6" max="6" width="31.85546875" style="120" bestFit="1" customWidth="1"/>
    <col min="7" max="7" width="11.28515625" style="120" customWidth="1"/>
    <col min="8" max="8" width="10.85546875" style="120" customWidth="1"/>
    <col min="9" max="9" width="53.140625" style="120" customWidth="1"/>
    <col min="10" max="10" width="36.85546875" style="120" bestFit="1" customWidth="1"/>
    <col min="11" max="11" width="25.85546875" style="120" customWidth="1"/>
    <col min="12" max="16384" width="9.140625" style="120"/>
  </cols>
  <sheetData>
    <row r="1" spans="1:10" ht="32.25" customHeight="1" thickBot="1" x14ac:dyDescent="0.25">
      <c r="A1" s="912" t="s">
        <v>238</v>
      </c>
      <c r="B1" s="927"/>
      <c r="C1" s="927"/>
      <c r="D1" s="928"/>
      <c r="F1" s="921" t="s">
        <v>164</v>
      </c>
      <c r="G1" s="921"/>
      <c r="H1" s="921"/>
      <c r="I1" s="921"/>
    </row>
    <row r="2" spans="1:10" ht="9" customHeight="1" thickBot="1" x14ac:dyDescent="0.25">
      <c r="A2" s="935"/>
      <c r="B2" s="936"/>
      <c r="C2" s="936"/>
      <c r="D2" s="937"/>
      <c r="F2" s="209"/>
      <c r="G2" s="210"/>
      <c r="H2" s="210"/>
      <c r="I2" s="520"/>
    </row>
    <row r="3" spans="1:10" ht="13.5" thickBot="1" x14ac:dyDescent="0.25">
      <c r="A3" s="122" t="s">
        <v>165</v>
      </c>
      <c r="B3" s="128">
        <v>9</v>
      </c>
      <c r="C3" s="200" t="s">
        <v>166</v>
      </c>
      <c r="D3" s="220">
        <f>B3*365</f>
        <v>3285</v>
      </c>
      <c r="E3" s="123"/>
      <c r="F3" s="124" t="s">
        <v>167</v>
      </c>
      <c r="G3" s="922" t="s">
        <v>168</v>
      </c>
      <c r="H3" s="922"/>
      <c r="I3" s="125"/>
    </row>
    <row r="4" spans="1:10" ht="13.5" thickBot="1" x14ac:dyDescent="0.25">
      <c r="A4" s="174"/>
      <c r="B4" s="175"/>
      <c r="C4" s="175" t="s">
        <v>169</v>
      </c>
      <c r="D4" s="208" t="s">
        <v>170</v>
      </c>
      <c r="E4" s="123"/>
      <c r="F4" s="122"/>
      <c r="G4" s="128" t="s">
        <v>156</v>
      </c>
      <c r="H4" s="129" t="s">
        <v>157</v>
      </c>
      <c r="I4" s="130"/>
    </row>
    <row r="5" spans="1:10" ht="15" customHeight="1" x14ac:dyDescent="0.2">
      <c r="A5" s="126" t="s">
        <v>172</v>
      </c>
      <c r="C5" s="277">
        <v>1.5</v>
      </c>
      <c r="D5" s="135">
        <v>103418</v>
      </c>
      <c r="F5" s="126" t="s">
        <v>171</v>
      </c>
      <c r="G5" s="121">
        <v>15</v>
      </c>
      <c r="H5" s="121">
        <f>G5*8</f>
        <v>120</v>
      </c>
      <c r="I5" s="130"/>
    </row>
    <row r="6" spans="1:10" ht="13.35" customHeight="1" x14ac:dyDescent="0.2">
      <c r="A6" s="126" t="s">
        <v>177</v>
      </c>
      <c r="B6" s="134"/>
      <c r="C6" s="218">
        <v>1.87</v>
      </c>
      <c r="D6" s="135">
        <v>181778</v>
      </c>
      <c r="F6" s="126" t="s">
        <v>173</v>
      </c>
      <c r="G6" s="121">
        <v>8</v>
      </c>
      <c r="H6" s="121">
        <f>G6*8</f>
        <v>64</v>
      </c>
      <c r="I6" s="130"/>
    </row>
    <row r="7" spans="1:10" ht="15" customHeight="1" x14ac:dyDescent="0.2">
      <c r="A7" s="126" t="s">
        <v>220</v>
      </c>
      <c r="B7" s="134"/>
      <c r="C7" s="218">
        <v>18.52</v>
      </c>
      <c r="D7" s="135">
        <v>772535</v>
      </c>
      <c r="F7" s="126" t="s">
        <v>174</v>
      </c>
      <c r="G7" s="121">
        <v>11</v>
      </c>
      <c r="H7" s="121">
        <f>G7*8</f>
        <v>88</v>
      </c>
      <c r="I7" s="136" t="s">
        <v>493</v>
      </c>
    </row>
    <row r="8" spans="1:10" ht="13.5" customHeight="1" x14ac:dyDescent="0.2">
      <c r="A8" s="153" t="s">
        <v>187</v>
      </c>
      <c r="B8" s="154"/>
      <c r="C8" s="193">
        <f>SUM(C5:C7)</f>
        <v>21.89</v>
      </c>
      <c r="D8" s="155">
        <f>SUM(D5:D7)</f>
        <v>1057731</v>
      </c>
      <c r="F8" s="137" t="s">
        <v>176</v>
      </c>
      <c r="G8" s="138">
        <v>5</v>
      </c>
      <c r="H8" s="138">
        <f>G8*8</f>
        <v>40</v>
      </c>
      <c r="I8" s="139"/>
      <c r="J8" s="140"/>
    </row>
    <row r="9" spans="1:10" x14ac:dyDescent="0.2">
      <c r="A9" s="122" t="s">
        <v>229</v>
      </c>
      <c r="C9" s="200" t="s">
        <v>189</v>
      </c>
      <c r="D9" s="127"/>
      <c r="F9" s="126"/>
      <c r="G9" s="141" t="s">
        <v>161</v>
      </c>
      <c r="H9" s="121">
        <f>SUM(H5:H8)</f>
        <v>312</v>
      </c>
      <c r="I9" s="142"/>
    </row>
    <row r="10" spans="1:10" ht="13.5" thickBot="1" x14ac:dyDescent="0.25">
      <c r="A10" s="126" t="s">
        <v>192</v>
      </c>
      <c r="B10" s="156">
        <f>H44</f>
        <v>0.25390000000000001</v>
      </c>
      <c r="D10" s="135">
        <f>B10*D8</f>
        <v>268557.90090000001</v>
      </c>
      <c r="E10" s="150"/>
      <c r="F10" s="144"/>
      <c r="G10" s="145" t="s">
        <v>178</v>
      </c>
      <c r="H10" s="146">
        <f>H9/(52*40)</f>
        <v>0.15</v>
      </c>
      <c r="I10" s="147"/>
    </row>
    <row r="11" spans="1:10" x14ac:dyDescent="0.2">
      <c r="A11" s="126" t="s">
        <v>483</v>
      </c>
      <c r="B11" s="156">
        <f>H53</f>
        <v>2.7812E-2</v>
      </c>
      <c r="D11" s="135">
        <f>(D8+D10)*B11</f>
        <v>36886.7469118308</v>
      </c>
      <c r="E11" s="150"/>
      <c r="G11" s="141"/>
      <c r="H11" s="148"/>
      <c r="I11" s="149"/>
    </row>
    <row r="12" spans="1:10" x14ac:dyDescent="0.2">
      <c r="A12" s="153" t="s">
        <v>194</v>
      </c>
      <c r="B12" s="154"/>
      <c r="C12" s="157"/>
      <c r="D12" s="155">
        <f>SUM(D8:D11)</f>
        <v>1363175.6478118307</v>
      </c>
      <c r="E12" s="150"/>
      <c r="G12" s="141"/>
      <c r="H12" s="148"/>
      <c r="I12" s="149"/>
    </row>
    <row r="13" spans="1:10" x14ac:dyDescent="0.2">
      <c r="A13" s="126" t="s">
        <v>216</v>
      </c>
      <c r="C13" s="158">
        <f>H46</f>
        <v>30.57</v>
      </c>
      <c r="D13" s="159">
        <f>C13*D3-0.5</f>
        <v>100421.95</v>
      </c>
      <c r="E13" s="150"/>
      <c r="G13" s="141"/>
      <c r="H13" s="148"/>
      <c r="I13" s="149"/>
    </row>
    <row r="14" spans="1:10" x14ac:dyDescent="0.2">
      <c r="A14" s="126" t="s">
        <v>239</v>
      </c>
      <c r="C14" s="158">
        <f>5.48</f>
        <v>5.48</v>
      </c>
      <c r="D14" s="159">
        <f>C14*D3</f>
        <v>18001.800000000003</v>
      </c>
      <c r="E14" s="150"/>
      <c r="G14" s="141"/>
      <c r="H14" s="148"/>
      <c r="I14" s="149"/>
    </row>
    <row r="15" spans="1:10" ht="13.5" thickBot="1" x14ac:dyDescent="0.25">
      <c r="A15" s="126" t="str">
        <f>F47</f>
        <v>Programmatic expenses</v>
      </c>
      <c r="C15" s="158">
        <f>H47</f>
        <v>25</v>
      </c>
      <c r="D15" s="159">
        <f>C15*D3</f>
        <v>82125</v>
      </c>
      <c r="E15" s="150"/>
    </row>
    <row r="16" spans="1:10" ht="15" customHeight="1" thickBot="1" x14ac:dyDescent="0.35">
      <c r="A16" s="126" t="s">
        <v>210</v>
      </c>
      <c r="C16" s="158">
        <f>H48</f>
        <v>1.25</v>
      </c>
      <c r="D16" s="159">
        <f>C16*D3</f>
        <v>4106.25</v>
      </c>
      <c r="E16" s="150"/>
      <c r="F16" s="923" t="str">
        <f>'[21]Specialty Treatment Residence'!H16</f>
        <v>MASTER DATA LOOK_UP</v>
      </c>
      <c r="G16" s="924"/>
      <c r="H16" s="924"/>
      <c r="I16" s="925"/>
    </row>
    <row r="17" spans="1:10" x14ac:dyDescent="0.2">
      <c r="A17" s="153" t="s">
        <v>198</v>
      </c>
      <c r="B17" s="154"/>
      <c r="C17" s="154"/>
      <c r="D17" s="155">
        <f>SUM(D12:D16)</f>
        <v>1567830.6478118307</v>
      </c>
      <c r="E17" s="150"/>
      <c r="F17" s="932"/>
      <c r="G17" s="933"/>
      <c r="H17" s="933"/>
      <c r="I17" s="934"/>
    </row>
    <row r="18" spans="1:10" x14ac:dyDescent="0.2">
      <c r="A18" s="126" t="s">
        <v>199</v>
      </c>
      <c r="B18" s="156">
        <f>H51</f>
        <v>0.12</v>
      </c>
      <c r="D18" s="135">
        <f>B18*(D17-D11)</f>
        <v>183713.26810799999</v>
      </c>
      <c r="E18" s="150"/>
      <c r="F18" s="122" t="str">
        <f>'[21]Specialty Treatment Residence'!H18</f>
        <v>Management</v>
      </c>
      <c r="G18" s="926" t="s">
        <v>226</v>
      </c>
      <c r="H18" s="926"/>
      <c r="I18" s="127"/>
    </row>
    <row r="19" spans="1:10" ht="13.5" thickBot="1" x14ac:dyDescent="0.25">
      <c r="A19" s="313" t="s">
        <v>137</v>
      </c>
      <c r="B19" s="235">
        <v>2.7812E-2</v>
      </c>
      <c r="C19" s="161"/>
      <c r="D19" s="162">
        <f>(D13+D14+D15+D16)*B19</f>
        <v>5691.8648599999997</v>
      </c>
      <c r="E19" s="150"/>
      <c r="F19" s="126" t="str">
        <f>'[21]Specialty Treatment Residence'!H19</f>
        <v>Program Manager (LICSW)</v>
      </c>
      <c r="G19" s="277">
        <v>1</v>
      </c>
      <c r="H19" s="134"/>
      <c r="I19" s="127" t="str">
        <f>'[21]Specialty Treatment Residence'!K19</f>
        <v>BLS M2021 Benchmark 53 PCT</v>
      </c>
    </row>
    <row r="20" spans="1:10" ht="13.5" thickTop="1" x14ac:dyDescent="0.2">
      <c r="A20" s="122" t="s">
        <v>200</v>
      </c>
      <c r="B20" s="156"/>
      <c r="D20" s="164">
        <f>SUM(D17:D19)</f>
        <v>1757235.7807798309</v>
      </c>
      <c r="E20" s="150"/>
      <c r="F20" s="126" t="str">
        <f>'[21]Specialty Treatment Residence'!H20</f>
        <v>Assistant Program Manager</v>
      </c>
      <c r="G20" s="277">
        <v>0.5</v>
      </c>
      <c r="H20" s="134"/>
      <c r="I20" s="127" t="str">
        <f>'[21]Specialty Treatment Residence'!K20</f>
        <v>BLS M2021 Benchmark 53 PCT</v>
      </c>
      <c r="J20" s="251"/>
    </row>
    <row r="21" spans="1:10" x14ac:dyDescent="0.2">
      <c r="A21" s="126"/>
      <c r="D21" s="166" t="s">
        <v>201</v>
      </c>
      <c r="F21" s="126" t="str">
        <f>'[21]Specialty Treatment Residence'!H21</f>
        <v>Management</v>
      </c>
      <c r="G21" s="277"/>
      <c r="H21" s="134"/>
      <c r="I21" s="127" t="str">
        <f>'[21]Specialty Treatment Residence'!K21</f>
        <v>BLS M2021 Benchmark 53 PCT</v>
      </c>
    </row>
    <row r="22" spans="1:10" ht="13.5" thickBot="1" x14ac:dyDescent="0.25">
      <c r="A22" s="126"/>
      <c r="B22" s="291" t="s">
        <v>225</v>
      </c>
      <c r="C22" s="214"/>
      <c r="D22" s="168">
        <f>D20/D3</f>
        <v>534.92717831958328</v>
      </c>
      <c r="E22" s="150"/>
      <c r="F22" s="126"/>
      <c r="G22" s="121"/>
      <c r="H22" s="134"/>
      <c r="I22" s="127"/>
    </row>
    <row r="23" spans="1:10" ht="13.5" thickBot="1" x14ac:dyDescent="0.25">
      <c r="A23" s="170" t="s">
        <v>240</v>
      </c>
      <c r="B23" s="252">
        <v>0.8</v>
      </c>
      <c r="C23" s="171"/>
      <c r="D23" s="172">
        <f>D22/B23</f>
        <v>668.65897289947907</v>
      </c>
      <c r="F23" s="122" t="str">
        <f>'[21]Specialty Treatment Residence'!H23</f>
        <v>Medical and Clinical</v>
      </c>
      <c r="G23" s="121"/>
      <c r="H23" s="134"/>
      <c r="I23" s="127"/>
    </row>
    <row r="24" spans="1:10" ht="13.5" thickBot="1" x14ac:dyDescent="0.25">
      <c r="A24" s="230" t="s">
        <v>241</v>
      </c>
      <c r="B24" s="236">
        <v>0.9</v>
      </c>
      <c r="C24" s="231"/>
      <c r="D24" s="232">
        <f>D22/B24</f>
        <v>594.36353146620365</v>
      </c>
      <c r="F24" s="126" t="str">
        <f>'[21]Specialty Treatment Residence'!H24</f>
        <v xml:space="preserve">    Physician &amp;Psychiatrist</v>
      </c>
      <c r="G24" s="277">
        <v>0.25</v>
      </c>
      <c r="H24" s="134"/>
      <c r="I24" s="127" t="str">
        <f>'[21]Specialty Treatment Residence'!K24</f>
        <v>BLS M2021 Benchmark 53 PCT</v>
      </c>
    </row>
    <row r="25" spans="1:10" x14ac:dyDescent="0.2">
      <c r="F25" s="126" t="str">
        <f>'[21]Specialty Treatment Residence'!H25</f>
        <v xml:space="preserve">    Nursing (RN non-masters)</v>
      </c>
      <c r="G25" s="277">
        <v>0.18</v>
      </c>
      <c r="H25" s="134"/>
      <c r="I25" s="127" t="str">
        <f>'[21]Specialty Treatment Residence'!K25</f>
        <v>BLS M2021 Benchmark 53 PCT</v>
      </c>
    </row>
    <row r="26" spans="1:10" x14ac:dyDescent="0.2">
      <c r="F26" s="152" t="str">
        <f>'[21]Specialty Treatment Residence'!H26</f>
        <v>Nursing LPN</v>
      </c>
      <c r="G26" s="277">
        <v>0.33</v>
      </c>
      <c r="H26" s="134"/>
      <c r="I26" s="127" t="str">
        <f>'[21]Specialty Treatment Residence'!K26</f>
        <v>BLS M2021 Benchmark 53 PCT</v>
      </c>
    </row>
    <row r="27" spans="1:10" x14ac:dyDescent="0.2">
      <c r="D27" s="233"/>
      <c r="F27" s="126" t="str">
        <f>'[21]Specialty Treatment Residence'!H27</f>
        <v xml:space="preserve">    Occupational Therapy</v>
      </c>
      <c r="G27" s="277">
        <v>0.6</v>
      </c>
      <c r="H27" s="134"/>
      <c r="I27" s="127" t="str">
        <f>'[21]Specialty Treatment Residence'!K27</f>
        <v>BLS M2021 Benchmark 53 PCT</v>
      </c>
    </row>
    <row r="28" spans="1:10" x14ac:dyDescent="0.2">
      <c r="C28" s="245"/>
      <c r="D28" s="178"/>
      <c r="F28" s="152" t="str">
        <f>'[21]Specialty Treatment Residence'!H29</f>
        <v>Clinician w Independent Licensure</v>
      </c>
      <c r="G28" s="277">
        <v>0.18</v>
      </c>
      <c r="H28" s="134"/>
      <c r="I28" s="127" t="str">
        <f>'[21]Specialty Treatment Residence'!K29</f>
        <v>BLS M2021 Benchmark 53 PCT- req ind lic</v>
      </c>
    </row>
    <row r="29" spans="1:10" x14ac:dyDescent="0.2">
      <c r="D29" s="178"/>
      <c r="F29" s="152" t="str">
        <f>'[21]Specialty Treatment Residence'!H30</f>
        <v>Clinician W/O Indep. Licensure</v>
      </c>
      <c r="G29" s="277">
        <v>0.33</v>
      </c>
      <c r="H29" s="134"/>
      <c r="I29" s="127" t="str">
        <f>'[21]Specialty Treatment Residence'!K30</f>
        <v>BLS M2021 Benchmark 53 PCT</v>
      </c>
    </row>
    <row r="30" spans="1:10" ht="15" x14ac:dyDescent="0.25">
      <c r="F30" s="226"/>
      <c r="G30" s="277"/>
      <c r="H30" s="134"/>
      <c r="I30" s="228"/>
    </row>
    <row r="31" spans="1:10" x14ac:dyDescent="0.2">
      <c r="F31" s="122" t="str">
        <f>'[21]Specialty Treatment Residence'!H32</f>
        <v>Direct Care</v>
      </c>
      <c r="G31" s="277"/>
      <c r="H31" s="134"/>
      <c r="I31" s="127"/>
    </row>
    <row r="32" spans="1:10" x14ac:dyDescent="0.2">
      <c r="F32" s="126" t="str">
        <f>'[21]Specialty Treatment Residence'!H33</f>
        <v xml:space="preserve">    Clinical Care Manager (MA)</v>
      </c>
      <c r="G32" s="277">
        <v>0.67</v>
      </c>
      <c r="H32" s="134"/>
      <c r="I32" s="127" t="str">
        <f>'[21]Specialty Treatment Residence'!K33</f>
        <v>Required Masters Degree not indep lic, BLS M2021 Benchmark</v>
      </c>
    </row>
    <row r="33" spans="5:9" x14ac:dyDescent="0.2">
      <c r="F33" s="126" t="str">
        <f>'[21]Specialty Treatment Residence'!H34</f>
        <v xml:space="preserve">    CQI specialist</v>
      </c>
      <c r="G33" s="277">
        <v>0.5</v>
      </c>
      <c r="H33" s="134"/>
      <c r="I33" s="127" t="str">
        <f>'[21]Specialty Treatment Residence'!K34</f>
        <v>BLS M2021 Benchmark 53 PCT- Provider recommendation</v>
      </c>
    </row>
    <row r="34" spans="5:9" x14ac:dyDescent="0.2">
      <c r="F34" s="152" t="str">
        <f>'[21]Specialty Treatment Residence'!H35</f>
        <v>Life Coach /DCIII</v>
      </c>
      <c r="G34" s="277">
        <v>0.08</v>
      </c>
      <c r="H34" s="134"/>
      <c r="I34" s="127" t="str">
        <f>'[21]Specialty Treatment Residence'!K35</f>
        <v>BLS M2021 Benchmark 53 PCT</v>
      </c>
    </row>
    <row r="35" spans="5:9" x14ac:dyDescent="0.2">
      <c r="F35" s="152" t="str">
        <f>'[21]Specialty Treatment Residence'!H36</f>
        <v xml:space="preserve">Direct Care (DC III) Milieu Manager </v>
      </c>
      <c r="G35" s="277">
        <v>1</v>
      </c>
      <c r="H35" s="134"/>
      <c r="I35" s="127" t="str">
        <f>'[21]Specialty Treatment Residence'!K36</f>
        <v>BLS M2021 Benchmark 53 PCT</v>
      </c>
    </row>
    <row r="36" spans="5:9" x14ac:dyDescent="0.2">
      <c r="F36" s="152" t="str">
        <f>'[21]Specialty Treatment Residence'!H39</f>
        <v>Case Worker (Ed Liaison)</v>
      </c>
      <c r="G36" s="277">
        <v>0.22</v>
      </c>
      <c r="H36" s="134"/>
      <c r="I36" s="127" t="str">
        <f>'[21]Specialty Treatment Residence'!K39</f>
        <v>BLS M2021 Benchmark 53 PCT</v>
      </c>
    </row>
    <row r="37" spans="5:9" x14ac:dyDescent="0.2">
      <c r="F37" s="169" t="str">
        <f>'[21]Specialty Treatment Residence'!H41</f>
        <v xml:space="preserve">    Direct Care Staff</v>
      </c>
      <c r="G37" s="277">
        <v>12.6</v>
      </c>
      <c r="H37" s="134"/>
      <c r="I37" s="127" t="str">
        <f>'[21]Specialty Treatment Residence'!K41</f>
        <v>BLS M2021 Benchmark 53 PCT</v>
      </c>
    </row>
    <row r="38" spans="5:9" x14ac:dyDescent="0.2">
      <c r="F38" s="169" t="s">
        <v>463</v>
      </c>
      <c r="G38" s="277">
        <v>1</v>
      </c>
      <c r="H38" s="134"/>
      <c r="I38" s="127" t="str">
        <f>'[21]Specialty Treatment Residence'!K42</f>
        <v>BLS M2021 Benchmark 53 PCT</v>
      </c>
    </row>
    <row r="39" spans="5:9" x14ac:dyDescent="0.2">
      <c r="F39" s="152" t="str">
        <f>'[21]Specialty Treatment Residence'!H43</f>
        <v>Transportation Staff (DC)</v>
      </c>
      <c r="G39" s="277">
        <v>0.45</v>
      </c>
      <c r="H39" s="134"/>
      <c r="I39" s="127" t="str">
        <f>'[21]Specialty Treatment Residence'!K43</f>
        <v>BLS M2021 Benchmark 53 PCT</v>
      </c>
    </row>
    <row r="40" spans="5:9" x14ac:dyDescent="0.2">
      <c r="F40" s="152" t="str">
        <f>'[21]Specialty Treatment Residence'!H44</f>
        <v>Maintenance Staff (DC)</v>
      </c>
      <c r="G40" s="277">
        <v>0.11</v>
      </c>
      <c r="H40" s="134"/>
      <c r="I40" s="127" t="str">
        <f>'[21]Specialty Treatment Residence'!K44</f>
        <v>BLS M2021 Benchmark 53 PCT</v>
      </c>
    </row>
    <row r="41" spans="5:9" x14ac:dyDescent="0.2">
      <c r="F41" s="126" t="str">
        <f>'[21]Specialty Treatment Residence'!H45</f>
        <v xml:space="preserve">    Direct Care Relief</v>
      </c>
      <c r="G41" s="277">
        <v>1.89</v>
      </c>
      <c r="H41" s="134"/>
      <c r="I41" s="127" t="str">
        <f>'[21]Specialty Treatment Residence'!K45</f>
        <v>BLS M2021 Benchmark 53 PCT</v>
      </c>
    </row>
    <row r="42" spans="5:9" x14ac:dyDescent="0.2">
      <c r="E42" s="163"/>
      <c r="F42" s="126"/>
      <c r="H42" s="134"/>
      <c r="I42" s="127"/>
    </row>
    <row r="43" spans="5:9" x14ac:dyDescent="0.2">
      <c r="F43" s="906" t="s">
        <v>206</v>
      </c>
      <c r="G43" s="907"/>
      <c r="H43" s="907"/>
      <c r="I43" s="908"/>
    </row>
    <row r="44" spans="5:9" ht="13.35" customHeight="1" x14ac:dyDescent="0.2">
      <c r="F44" s="126" t="s">
        <v>192</v>
      </c>
      <c r="H44" s="178">
        <v>0.25390000000000001</v>
      </c>
      <c r="I44" s="127" t="s">
        <v>207</v>
      </c>
    </row>
    <row r="45" spans="5:9" x14ac:dyDescent="0.2">
      <c r="F45" s="126"/>
      <c r="H45" s="156"/>
      <c r="I45" s="127"/>
    </row>
    <row r="46" spans="5:9" x14ac:dyDescent="0.2">
      <c r="F46" s="126" t="str">
        <f>'[21]Master Data'!C37</f>
        <v>Occupancy</v>
      </c>
      <c r="H46" s="167">
        <v>30.57</v>
      </c>
      <c r="I46" s="127" t="s">
        <v>208</v>
      </c>
    </row>
    <row r="47" spans="5:9" x14ac:dyDescent="0.2">
      <c r="F47" s="126" t="str">
        <f>'[21]Master Data'!C38</f>
        <v>Programmatic expenses</v>
      </c>
      <c r="H47" s="167">
        <v>25</v>
      </c>
      <c r="I47" s="127" t="s">
        <v>209</v>
      </c>
    </row>
    <row r="48" spans="5:9" x14ac:dyDescent="0.2">
      <c r="F48" s="126" t="s">
        <v>210</v>
      </c>
      <c r="H48" s="202">
        <v>1.25</v>
      </c>
      <c r="I48" s="127" t="s">
        <v>211</v>
      </c>
    </row>
    <row r="49" spans="6:9" x14ac:dyDescent="0.2">
      <c r="F49" s="179" t="s">
        <v>198</v>
      </c>
      <c r="G49" s="180"/>
      <c r="H49" s="181">
        <f>SUM(H46:H47)</f>
        <v>55.57</v>
      </c>
      <c r="I49" s="182"/>
    </row>
    <row r="50" spans="6:9" x14ac:dyDescent="0.2">
      <c r="F50" s="126"/>
      <c r="I50" s="127"/>
    </row>
    <row r="51" spans="6:9" x14ac:dyDescent="0.2">
      <c r="F51" s="126" t="s">
        <v>199</v>
      </c>
      <c r="H51" s="178">
        <f>'[21]Master Data'!E42</f>
        <v>0.12</v>
      </c>
      <c r="I51" s="127" t="s">
        <v>213</v>
      </c>
    </row>
    <row r="52" spans="6:9" x14ac:dyDescent="0.2">
      <c r="F52" s="126"/>
      <c r="I52" s="127"/>
    </row>
    <row r="53" spans="6:9" ht="13.5" thickBot="1" x14ac:dyDescent="0.25">
      <c r="F53" s="144" t="s">
        <v>214</v>
      </c>
      <c r="G53" s="183"/>
      <c r="H53" s="184">
        <v>2.7812E-2</v>
      </c>
      <c r="I53" s="185" t="s">
        <v>215</v>
      </c>
    </row>
    <row r="59" spans="6:9" ht="13.35" customHeight="1" x14ac:dyDescent="0.2"/>
    <row r="60" spans="6:9" ht="15" customHeight="1" x14ac:dyDescent="0.2"/>
    <row r="65" spans="6:6" ht="12.75" customHeight="1" x14ac:dyDescent="0.2"/>
    <row r="72" spans="6:6" ht="15" x14ac:dyDescent="0.25">
      <c r="F72"/>
    </row>
  </sheetData>
  <mergeCells count="7">
    <mergeCell ref="F43:I43"/>
    <mergeCell ref="A1:D2"/>
    <mergeCell ref="F1:I1"/>
    <mergeCell ref="G3:H3"/>
    <mergeCell ref="F16:I16"/>
    <mergeCell ref="F17:I17"/>
    <mergeCell ref="G18:H18"/>
  </mergeCells>
  <pageMargins left="0.7" right="0.7" top="0.75" bottom="0.75" header="0.3" footer="0.3"/>
  <pageSetup scale="82" fitToHeight="0" orientation="portrait" r:id="rId1"/>
  <headerFooter>
    <oddFooter>&amp;R2016-04-12
&amp;A
Caring Together rate review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6299-1557-4CBF-8D6F-747ED78ED8F3}">
  <dimension ref="A1:L102"/>
  <sheetViews>
    <sheetView topLeftCell="A25" zoomScaleNormal="100" workbookViewId="0">
      <selection activeCell="E18" sqref="E18"/>
    </sheetView>
  </sheetViews>
  <sheetFormatPr defaultColWidth="9.1406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25.28515625" style="121" customWidth="1"/>
    <col min="6" max="6" width="29.5703125" style="120" customWidth="1"/>
    <col min="7" max="7" width="14" style="120" customWidth="1"/>
    <col min="8" max="8" width="9.7109375" style="120" bestFit="1" customWidth="1"/>
    <col min="9" max="9" width="55" style="120" bestFit="1" customWidth="1"/>
    <col min="10" max="10" width="61.140625" style="120" customWidth="1"/>
    <col min="11" max="11" width="25.140625" style="120" customWidth="1"/>
    <col min="12" max="16384" width="9.140625" style="120"/>
  </cols>
  <sheetData>
    <row r="1" spans="1:9" ht="17.25" customHeight="1" thickBot="1" x14ac:dyDescent="0.25">
      <c r="A1" s="938" t="s">
        <v>242</v>
      </c>
      <c r="B1" s="938"/>
      <c r="C1" s="938"/>
      <c r="D1" s="938"/>
    </row>
    <row r="2" spans="1:9" ht="13.5" thickBot="1" x14ac:dyDescent="0.25">
      <c r="A2" s="912" t="s">
        <v>243</v>
      </c>
      <c r="B2" s="913"/>
      <c r="C2" s="913"/>
      <c r="D2" s="914"/>
      <c r="F2" s="921" t="s">
        <v>164</v>
      </c>
      <c r="G2" s="921"/>
      <c r="H2" s="921"/>
      <c r="I2" s="921"/>
    </row>
    <row r="3" spans="1:9" ht="13.5" thickBot="1" x14ac:dyDescent="0.25">
      <c r="A3" s="915"/>
      <c r="B3" s="916"/>
      <c r="C3" s="916"/>
      <c r="D3" s="917"/>
    </row>
    <row r="4" spans="1:9" ht="15" customHeight="1" thickBot="1" x14ac:dyDescent="0.25">
      <c r="A4" s="122" t="s">
        <v>165</v>
      </c>
      <c r="B4" s="128">
        <v>9</v>
      </c>
      <c r="C4" s="200" t="s">
        <v>166</v>
      </c>
      <c r="D4" s="220">
        <f>B4*365</f>
        <v>3285</v>
      </c>
      <c r="E4" s="253"/>
      <c r="F4" s="124" t="s">
        <v>167</v>
      </c>
      <c r="G4" s="922" t="s">
        <v>168</v>
      </c>
      <c r="H4" s="922"/>
      <c r="I4" s="125"/>
    </row>
    <row r="5" spans="1:9" ht="15" customHeight="1" thickBot="1" x14ac:dyDescent="0.25">
      <c r="A5" s="174"/>
      <c r="B5" s="175" t="s">
        <v>132</v>
      </c>
      <c r="C5" s="175" t="s">
        <v>169</v>
      </c>
      <c r="D5" s="208" t="s">
        <v>170</v>
      </c>
      <c r="E5" s="253"/>
      <c r="F5" s="122"/>
      <c r="G5" s="128" t="s">
        <v>156</v>
      </c>
      <c r="H5" s="129" t="s">
        <v>157</v>
      </c>
      <c r="I5" s="130"/>
    </row>
    <row r="6" spans="1:9" ht="15" customHeight="1" x14ac:dyDescent="0.2">
      <c r="A6" s="126" t="s">
        <v>172</v>
      </c>
      <c r="C6" s="277">
        <v>1.5</v>
      </c>
      <c r="D6" s="135">
        <v>103418</v>
      </c>
      <c r="F6" s="126" t="s">
        <v>171</v>
      </c>
      <c r="G6" s="121">
        <v>15</v>
      </c>
      <c r="H6" s="121">
        <f>G6*8</f>
        <v>120</v>
      </c>
      <c r="I6" s="130"/>
    </row>
    <row r="7" spans="1:9" ht="15" customHeight="1" x14ac:dyDescent="0.2">
      <c r="A7" s="126" t="s">
        <v>177</v>
      </c>
      <c r="B7" s="134"/>
      <c r="C7" s="218">
        <v>3.53</v>
      </c>
      <c r="D7" s="135">
        <v>308579.21999999997</v>
      </c>
      <c r="F7" s="126" t="s">
        <v>173</v>
      </c>
      <c r="G7" s="121">
        <v>8</v>
      </c>
      <c r="H7" s="121">
        <f>G7*8</f>
        <v>64</v>
      </c>
      <c r="I7" s="130"/>
    </row>
    <row r="8" spans="1:9" ht="15" customHeight="1" x14ac:dyDescent="0.2">
      <c r="A8" s="126" t="s">
        <v>220</v>
      </c>
      <c r="B8" s="134"/>
      <c r="C8" s="218">
        <v>21.6</v>
      </c>
      <c r="D8" s="135">
        <v>889304</v>
      </c>
      <c r="F8" s="126" t="s">
        <v>174</v>
      </c>
      <c r="G8" s="121">
        <v>11</v>
      </c>
      <c r="H8" s="121">
        <f>G8*8</f>
        <v>88</v>
      </c>
      <c r="I8" s="136" t="s">
        <v>493</v>
      </c>
    </row>
    <row r="9" spans="1:9" ht="15" customHeight="1" x14ac:dyDescent="0.2">
      <c r="A9" s="153" t="s">
        <v>187</v>
      </c>
      <c r="B9" s="154"/>
      <c r="C9" s="193">
        <f>SUM(C6:C8)</f>
        <v>26.630000000000003</v>
      </c>
      <c r="D9" s="155">
        <f>SUM(D6:D8)</f>
        <v>1301301.22</v>
      </c>
      <c r="F9" s="137" t="s">
        <v>176</v>
      </c>
      <c r="G9" s="138">
        <v>5</v>
      </c>
      <c r="H9" s="138">
        <f>G9*8</f>
        <v>40</v>
      </c>
      <c r="I9" s="139"/>
    </row>
    <row r="10" spans="1:9" ht="15" customHeight="1" x14ac:dyDescent="0.2">
      <c r="A10" s="122" t="s">
        <v>229</v>
      </c>
      <c r="C10" s="200"/>
      <c r="D10" s="127"/>
      <c r="F10" s="126"/>
      <c r="G10" s="141" t="s">
        <v>161</v>
      </c>
      <c r="H10" s="121">
        <f>SUM(H6:H9)</f>
        <v>312</v>
      </c>
      <c r="I10" s="142"/>
    </row>
    <row r="11" spans="1:9" ht="15" customHeight="1" thickBot="1" x14ac:dyDescent="0.25">
      <c r="A11" s="126" t="s">
        <v>192</v>
      </c>
      <c r="B11" s="156">
        <f>H44</f>
        <v>0.25390000000000001</v>
      </c>
      <c r="D11" s="135">
        <f>B11*D9+0.2</f>
        <v>330400.57975800004</v>
      </c>
      <c r="F11" s="144"/>
      <c r="G11" s="145" t="s">
        <v>178</v>
      </c>
      <c r="H11" s="254">
        <f>H10/(52*40)</f>
        <v>0.15</v>
      </c>
      <c r="I11" s="255"/>
    </row>
    <row r="12" spans="1:9" ht="15" customHeight="1" x14ac:dyDescent="0.2">
      <c r="A12" s="126" t="s">
        <v>483</v>
      </c>
      <c r="B12" s="156">
        <f>B19</f>
        <v>2.7812E-2</v>
      </c>
      <c r="D12" s="135">
        <f>(D9+D11)*B12</f>
        <v>45380.890454869499</v>
      </c>
      <c r="G12" s="141"/>
      <c r="H12" s="256"/>
      <c r="I12" s="257"/>
    </row>
    <row r="13" spans="1:9" ht="15" customHeight="1" x14ac:dyDescent="0.2">
      <c r="A13" s="153" t="s">
        <v>194</v>
      </c>
      <c r="B13" s="154"/>
      <c r="C13" s="157"/>
      <c r="D13" s="155">
        <f>SUM(D9:D12)</f>
        <v>1677082.6902128696</v>
      </c>
      <c r="G13" s="141"/>
      <c r="H13" s="256"/>
      <c r="I13" s="257"/>
    </row>
    <row r="14" spans="1:9" ht="15" customHeight="1" x14ac:dyDescent="0.2">
      <c r="A14" s="126" t="s">
        <v>216</v>
      </c>
      <c r="C14" s="158">
        <f>H46</f>
        <v>30.57</v>
      </c>
      <c r="D14" s="159">
        <f>C14*D4</f>
        <v>100422.45</v>
      </c>
      <c r="G14" s="141"/>
      <c r="H14" s="256"/>
      <c r="I14" s="257"/>
    </row>
    <row r="15" spans="1:9" ht="15" customHeight="1" thickBot="1" x14ac:dyDescent="0.25">
      <c r="A15" s="126" t="str">
        <f>F47</f>
        <v>Programmatic expenses</v>
      </c>
      <c r="C15" s="158">
        <f>H47</f>
        <v>25</v>
      </c>
      <c r="D15" s="159">
        <f>C15*D4</f>
        <v>82125</v>
      </c>
    </row>
    <row r="16" spans="1:9" ht="15.75" customHeight="1" thickBot="1" x14ac:dyDescent="0.35">
      <c r="A16" s="126" t="s">
        <v>210</v>
      </c>
      <c r="C16" s="158">
        <f>H48</f>
        <v>1.25</v>
      </c>
      <c r="D16" s="159">
        <f>C16*D4</f>
        <v>4106.25</v>
      </c>
      <c r="F16" s="923" t="str">
        <f>'[21]Specialty TR -CSEC'!H16</f>
        <v>MASTER DATA LOOK_UP</v>
      </c>
      <c r="G16" s="924"/>
      <c r="H16" s="924"/>
      <c r="I16" s="925"/>
    </row>
    <row r="17" spans="1:12" ht="15.75" customHeight="1" x14ac:dyDescent="0.2">
      <c r="A17" s="153" t="s">
        <v>198</v>
      </c>
      <c r="B17" s="154"/>
      <c r="C17" s="154"/>
      <c r="D17" s="155">
        <f>SUM(D13:D16)</f>
        <v>1863736.3902128695</v>
      </c>
      <c r="F17" s="932"/>
      <c r="G17" s="933"/>
      <c r="H17" s="933"/>
      <c r="I17" s="934"/>
    </row>
    <row r="18" spans="1:12" ht="15.75" customHeight="1" x14ac:dyDescent="0.2">
      <c r="A18" s="126" t="s">
        <v>199</v>
      </c>
      <c r="B18" s="156">
        <f>H51</f>
        <v>0.12</v>
      </c>
      <c r="D18" s="135">
        <f>B18*(D17-D12)</f>
        <v>218202.65997096</v>
      </c>
      <c r="F18" s="122" t="str">
        <f>'[21]Specialty TR -CSEC'!H18</f>
        <v>Management</v>
      </c>
      <c r="G18" s="120" t="s">
        <v>464</v>
      </c>
      <c r="H18" s="134"/>
      <c r="I18" s="127"/>
    </row>
    <row r="19" spans="1:12" ht="13.5" thickBot="1" x14ac:dyDescent="0.25">
      <c r="A19" s="313" t="s">
        <v>214</v>
      </c>
      <c r="B19" s="235">
        <f>H53</f>
        <v>2.7812E-2</v>
      </c>
      <c r="C19" s="161"/>
      <c r="D19" s="162">
        <f>(D14+D15+D16)*B19</f>
        <v>5191.2127043999999</v>
      </c>
      <c r="F19" s="126" t="str">
        <f>'[21]Specialty TR -CSEC'!H19</f>
        <v>Program Manager (LICSW)</v>
      </c>
      <c r="G19" s="192">
        <v>1</v>
      </c>
      <c r="H19" s="134"/>
      <c r="I19" s="127" t="s">
        <v>181</v>
      </c>
    </row>
    <row r="20" spans="1:12" ht="13.5" thickTop="1" x14ac:dyDescent="0.2">
      <c r="A20" s="122" t="s">
        <v>200</v>
      </c>
      <c r="B20" s="156"/>
      <c r="D20" s="260">
        <f>SUM(D17:D19)</f>
        <v>2087130.2628882295</v>
      </c>
      <c r="F20" s="126" t="str">
        <f>'[21]Specialty TR -CSEC'!H20</f>
        <v>Assistant Program Manager</v>
      </c>
      <c r="G20" s="192">
        <v>0.5</v>
      </c>
      <c r="H20" s="134"/>
      <c r="I20" s="127" t="s">
        <v>181</v>
      </c>
    </row>
    <row r="21" spans="1:12" x14ac:dyDescent="0.2">
      <c r="A21" s="126"/>
      <c r="D21" s="166" t="s">
        <v>201</v>
      </c>
      <c r="F21" s="126"/>
      <c r="G21" s="192"/>
      <c r="H21" s="134"/>
      <c r="I21" s="127"/>
    </row>
    <row r="22" spans="1:12" ht="13.5" thickBot="1" x14ac:dyDescent="0.25">
      <c r="A22" s="126"/>
      <c r="B22" s="291" t="s">
        <v>225</v>
      </c>
      <c r="C22" s="261"/>
      <c r="D22" s="262">
        <f>D20/D4</f>
        <v>635.35167820037429</v>
      </c>
      <c r="F22" s="122" t="str">
        <f>'[21]Specialty TR -CSEC'!H23</f>
        <v>Medical and Clinical</v>
      </c>
      <c r="G22" s="192"/>
      <c r="H22" s="134"/>
      <c r="I22" s="127"/>
    </row>
    <row r="23" spans="1:12" ht="13.5" thickBot="1" x14ac:dyDescent="0.25">
      <c r="A23" s="170" t="s">
        <v>232</v>
      </c>
      <c r="B23" s="252">
        <v>0.8</v>
      </c>
      <c r="C23" s="263"/>
      <c r="D23" s="264">
        <f>D22/B23</f>
        <v>794.18959775046778</v>
      </c>
      <c r="F23" s="126" t="str">
        <f>'[21]Specialty TR -CSEC'!H24</f>
        <v xml:space="preserve">    Physician &amp;Psychiatrist</v>
      </c>
      <c r="G23" s="192">
        <v>0.34</v>
      </c>
      <c r="H23" s="134"/>
      <c r="I23" s="127" t="s">
        <v>181</v>
      </c>
      <c r="K23" s="258"/>
      <c r="L23" s="259"/>
    </row>
    <row r="24" spans="1:12" ht="13.5" thickBot="1" x14ac:dyDescent="0.25">
      <c r="A24" s="230" t="s">
        <v>244</v>
      </c>
      <c r="B24" s="236">
        <v>0.9</v>
      </c>
      <c r="C24" s="265"/>
      <c r="D24" s="232">
        <f>D22/B24</f>
        <v>705.94630911152694</v>
      </c>
      <c r="F24" s="126" t="str">
        <f>'[21]Specialty TR -CSEC'!H25</f>
        <v xml:space="preserve">    Nursing (RN non-masters)</v>
      </c>
      <c r="G24" s="192">
        <v>0.18</v>
      </c>
      <c r="H24" s="134"/>
      <c r="I24" s="127" t="s">
        <v>181</v>
      </c>
    </row>
    <row r="25" spans="1:12" x14ac:dyDescent="0.2">
      <c r="A25" s="200"/>
      <c r="F25" s="152" t="str">
        <f>'[21]Specialty TR -CSEC'!H26</f>
        <v>Nursing LPN</v>
      </c>
      <c r="G25" s="192">
        <v>0.5</v>
      </c>
      <c r="H25" s="134"/>
      <c r="I25" s="127" t="str">
        <f>'[21]Specialty TR -CSEC'!K26</f>
        <v>BLS M2021 Benchmark 53 PCT</v>
      </c>
    </row>
    <row r="26" spans="1:12" x14ac:dyDescent="0.2">
      <c r="D26" s="267"/>
      <c r="F26" s="126" t="str">
        <f>'[21]Specialty TR -CSEC'!H27</f>
        <v xml:space="preserve">    Occupational Therapy</v>
      </c>
      <c r="G26" s="192">
        <v>0.67</v>
      </c>
      <c r="H26" s="134"/>
      <c r="I26" s="127" t="str">
        <f>'[21]Specialty TR -CSEC'!K27</f>
        <v>BLS M2021 Benchmark 53 PCT</v>
      </c>
    </row>
    <row r="27" spans="1:12" x14ac:dyDescent="0.2">
      <c r="F27" s="152" t="str">
        <f>'[21]Specialty TR -CSEC'!H29</f>
        <v>Clinician w Independent Licensure</v>
      </c>
      <c r="G27" s="192">
        <v>0.22</v>
      </c>
      <c r="H27" s="134"/>
      <c r="I27" s="127" t="str">
        <f>'[21]Specialty TR -CSEC'!K29</f>
        <v>BLS M2021 Benchmark 53 PCT- req ind lic</v>
      </c>
    </row>
    <row r="28" spans="1:12" x14ac:dyDescent="0.2">
      <c r="F28" s="152" t="str">
        <f>'[21]Specialty TR -CSEC'!H30</f>
        <v>Clinician W/O Indep. Licensure</v>
      </c>
      <c r="G28" s="192">
        <v>0.5</v>
      </c>
      <c r="H28" s="134"/>
      <c r="I28" s="127" t="s">
        <v>181</v>
      </c>
    </row>
    <row r="29" spans="1:12" ht="13.5" thickBot="1" x14ac:dyDescent="0.25">
      <c r="A29" s="938" t="s">
        <v>245</v>
      </c>
      <c r="B29" s="938"/>
      <c r="C29" s="938"/>
      <c r="D29" s="938"/>
      <c r="F29" s="126" t="s">
        <v>465</v>
      </c>
      <c r="G29" s="192">
        <v>0.45</v>
      </c>
      <c r="H29" s="134"/>
      <c r="I29" s="127" t="s">
        <v>181</v>
      </c>
    </row>
    <row r="30" spans="1:12" x14ac:dyDescent="0.2">
      <c r="A30" s="912" t="s">
        <v>243</v>
      </c>
      <c r="B30" s="913"/>
      <c r="C30" s="913"/>
      <c r="D30" s="914"/>
      <c r="F30" s="126" t="s">
        <v>466</v>
      </c>
      <c r="G30" s="192">
        <v>0.67</v>
      </c>
      <c r="H30" s="134"/>
      <c r="I30" s="127" t="str">
        <f>'[21]Specialty TR -CSEC'!K33</f>
        <v>Required Masters Degree not indep lic, BLS M2021 Benchmark</v>
      </c>
    </row>
    <row r="31" spans="1:12" ht="15.75" thickBot="1" x14ac:dyDescent="0.3">
      <c r="A31" s="915"/>
      <c r="B31" s="916"/>
      <c r="C31" s="916"/>
      <c r="D31" s="917"/>
      <c r="F31" s="226"/>
      <c r="G31" s="816"/>
      <c r="H31" s="227"/>
      <c r="I31" s="228"/>
    </row>
    <row r="32" spans="1:12" ht="13.5" thickBot="1" x14ac:dyDescent="0.25">
      <c r="A32" s="122" t="s">
        <v>165</v>
      </c>
      <c r="B32" s="128">
        <v>9</v>
      </c>
      <c r="C32" s="200" t="s">
        <v>166</v>
      </c>
      <c r="D32" s="220">
        <f>B32*365</f>
        <v>3285</v>
      </c>
      <c r="F32" s="122" t="str">
        <f>'[21]Specialty TR -CSEC'!H32</f>
        <v>Direct Care</v>
      </c>
      <c r="G32" s="192"/>
      <c r="H32" s="134"/>
      <c r="I32" s="127"/>
    </row>
    <row r="33" spans="1:9" ht="13.5" thickBot="1" x14ac:dyDescent="0.25">
      <c r="A33" s="174"/>
      <c r="B33" s="175"/>
      <c r="C33" s="175" t="s">
        <v>169</v>
      </c>
      <c r="D33" s="208" t="s">
        <v>170</v>
      </c>
      <c r="F33" s="126" t="str">
        <f>'[21]Specialty TR -CSEC'!H34</f>
        <v xml:space="preserve">    CQI specialist</v>
      </c>
      <c r="G33" s="192">
        <v>1</v>
      </c>
      <c r="H33" s="134"/>
      <c r="I33" s="127" t="str">
        <f>'[21]Specialty TR -CSEC'!K34</f>
        <v>BLS M2021 Benchmark 53 PCT- Provider recommendation</v>
      </c>
    </row>
    <row r="34" spans="1:9" x14ac:dyDescent="0.2">
      <c r="A34" s="126" t="s">
        <v>172</v>
      </c>
      <c r="C34" s="121">
        <v>1.5</v>
      </c>
      <c r="D34" s="135">
        <v>103418</v>
      </c>
      <c r="F34" s="152" t="str">
        <f>'[21]Specialty TR -CSEC'!H35</f>
        <v>Life Coach /DCIII</v>
      </c>
      <c r="G34" s="192">
        <v>0.11</v>
      </c>
      <c r="H34" s="134"/>
      <c r="I34" s="127" t="str">
        <f>'[21]Specialty TR -CSEC'!K35</f>
        <v>BLS M2021 Benchmark 53 PCT</v>
      </c>
    </row>
    <row r="35" spans="1:9" x14ac:dyDescent="0.2">
      <c r="A35" s="126" t="s">
        <v>177</v>
      </c>
      <c r="B35" s="134"/>
      <c r="C35" s="218">
        <v>3.53</v>
      </c>
      <c r="D35" s="135">
        <v>308579</v>
      </c>
      <c r="F35" s="152" t="str">
        <f>'[21]Specialty TR -CSEC'!H36</f>
        <v xml:space="preserve">Direct Care (DC III) Milieu Manager </v>
      </c>
      <c r="G35" s="192">
        <v>1</v>
      </c>
      <c r="H35" s="134"/>
      <c r="I35" s="127" t="str">
        <f>'[21]Specialty TR -CSEC'!K36</f>
        <v>BLS M2021 Benchmark 53 PCT</v>
      </c>
    </row>
    <row r="36" spans="1:9" x14ac:dyDescent="0.2">
      <c r="A36" s="137" t="s">
        <v>220</v>
      </c>
      <c r="B36" s="274"/>
      <c r="C36" s="278">
        <v>21.1</v>
      </c>
      <c r="D36" s="275">
        <v>859057</v>
      </c>
      <c r="F36" s="152" t="str">
        <f>'[21]Specialty TR -CSEC'!H39</f>
        <v>Case Worker (Ed Liaison)</v>
      </c>
      <c r="G36" s="192">
        <v>0.22</v>
      </c>
      <c r="H36" s="134"/>
      <c r="I36" s="127" t="str">
        <f>'[21]Specialty TR -CSEC'!K39</f>
        <v>BLS M2021 Benchmark 53 PCT</v>
      </c>
    </row>
    <row r="37" spans="1:9" x14ac:dyDescent="0.2">
      <c r="A37" s="153" t="s">
        <v>187</v>
      </c>
      <c r="B37" s="154"/>
      <c r="C37" s="193">
        <f>SUM(C34:C36)</f>
        <v>26.130000000000003</v>
      </c>
      <c r="D37" s="155">
        <f>SUM(D34:D36)</f>
        <v>1271054</v>
      </c>
      <c r="F37" s="169" t="str">
        <f>'[21]Specialty TR -CSEC'!H41</f>
        <v xml:space="preserve">    Direct Care Staff</v>
      </c>
      <c r="G37" s="192">
        <v>15.4</v>
      </c>
      <c r="H37" s="134"/>
      <c r="I37" s="127" t="str">
        <f>'[21]Specialty TR -CSEC'!K41</f>
        <v>BLS M2021 Benchmark 53 PCT</v>
      </c>
    </row>
    <row r="38" spans="1:9" x14ac:dyDescent="0.2">
      <c r="A38" s="122" t="s">
        <v>229</v>
      </c>
      <c r="C38" s="200"/>
      <c r="D38" s="127"/>
      <c r="F38" s="173" t="str">
        <f>'[21]Specialty TR -CSEC'!H42</f>
        <v xml:space="preserve">  Direct Care Support</v>
      </c>
      <c r="G38" s="192">
        <v>1</v>
      </c>
      <c r="H38" s="134"/>
      <c r="I38" s="127" t="str">
        <f>'[21]Specialty TR -CSEC'!K42</f>
        <v>BLS M2021 Benchmark 53 PCT</v>
      </c>
    </row>
    <row r="39" spans="1:9" x14ac:dyDescent="0.2">
      <c r="A39" s="126" t="s">
        <v>192</v>
      </c>
      <c r="B39" s="156">
        <f>H44</f>
        <v>0.25390000000000001</v>
      </c>
      <c r="D39" s="135">
        <f>B39*D37</f>
        <v>322720.61060000001</v>
      </c>
      <c r="F39" s="152" t="str">
        <f>'[21]Specialty TR -CSEC'!H43</f>
        <v>Transportation Staff (DC)</v>
      </c>
      <c r="G39" s="192">
        <v>0.33750000000000002</v>
      </c>
      <c r="H39" s="134"/>
      <c r="I39" s="127" t="str">
        <f>'[21]Specialty TR -CSEC'!K43</f>
        <v>BLS M2021 Benchmark 53 PCT</v>
      </c>
    </row>
    <row r="40" spans="1:9" x14ac:dyDescent="0.2">
      <c r="A40" s="126" t="s">
        <v>483</v>
      </c>
      <c r="B40" s="156">
        <f>B19</f>
        <v>2.7812E-2</v>
      </c>
      <c r="D40" s="135">
        <f>(D37+D39)*B40</f>
        <v>44326.059470007203</v>
      </c>
      <c r="F40" s="152" t="str">
        <f>'[21]Specialty TR -CSEC'!H44</f>
        <v>Maintenance Staff (DC)</v>
      </c>
      <c r="G40" s="192">
        <v>0.22500000000000001</v>
      </c>
      <c r="H40" s="134"/>
      <c r="I40" s="127" t="str">
        <f>'[21]Specialty TR -CSEC'!K44</f>
        <v>BLS M2021 Benchmark 53 PCT</v>
      </c>
    </row>
    <row r="41" spans="1:9" x14ac:dyDescent="0.2">
      <c r="A41" s="153" t="s">
        <v>194</v>
      </c>
      <c r="B41" s="154"/>
      <c r="C41" s="157"/>
      <c r="D41" s="155">
        <f>SUM(D37:D40)</f>
        <v>1638100.6700700072</v>
      </c>
      <c r="E41" s="120"/>
      <c r="F41" s="126" t="str">
        <f>'[21]Specialty TR -CSEC'!H45</f>
        <v xml:space="preserve">    Direct Care Relief</v>
      </c>
      <c r="G41" s="192">
        <v>2.31</v>
      </c>
      <c r="H41" s="134"/>
      <c r="I41" s="127" t="str">
        <f>'[21]Specialty TR -CSEC'!K45</f>
        <v>BLS M2021 Benchmark 53 PCT</v>
      </c>
    </row>
    <row r="42" spans="1:9" x14ac:dyDescent="0.2">
      <c r="A42" s="126" t="s">
        <v>216</v>
      </c>
      <c r="C42" s="158">
        <f>C14</f>
        <v>30.57</v>
      </c>
      <c r="D42" s="159">
        <f>C42*D32</f>
        <v>100422.45</v>
      </c>
      <c r="E42" s="120"/>
      <c r="F42" s="126"/>
      <c r="H42" s="134"/>
      <c r="I42" s="127"/>
    </row>
    <row r="43" spans="1:9" x14ac:dyDescent="0.2">
      <c r="A43" s="126" t="str">
        <f>F47</f>
        <v>Programmatic expenses</v>
      </c>
      <c r="C43" s="158">
        <f>C15</f>
        <v>25</v>
      </c>
      <c r="D43" s="159">
        <f>C43*D32</f>
        <v>82125</v>
      </c>
      <c r="F43" s="906" t="str">
        <f>'[21]Specialty TR -CSEC'!H47</f>
        <v>Benchmark Expenses</v>
      </c>
      <c r="G43" s="907"/>
      <c r="H43" s="907"/>
      <c r="I43" s="908"/>
    </row>
    <row r="44" spans="1:9" ht="14.85" customHeight="1" x14ac:dyDescent="0.2">
      <c r="A44" s="126" t="s">
        <v>210</v>
      </c>
      <c r="C44" s="158">
        <f>C16</f>
        <v>1.25</v>
      </c>
      <c r="D44" s="159">
        <f>C44*D32</f>
        <v>4106.25</v>
      </c>
      <c r="F44" s="126" t="str">
        <f>'[21]Specialty TR -CSEC'!H48</f>
        <v>Tax and Fringe</v>
      </c>
      <c r="H44" s="268">
        <v>0.25390000000000001</v>
      </c>
      <c r="I44" s="127" t="str">
        <f>'[21]Specialty TR -CSEC'!K48</f>
        <v>Ch 257 Benchmark 2023</v>
      </c>
    </row>
    <row r="45" spans="1:9" x14ac:dyDescent="0.2">
      <c r="A45" s="153" t="s">
        <v>198</v>
      </c>
      <c r="B45" s="154"/>
      <c r="C45" s="154"/>
      <c r="D45" s="155">
        <f>SUM(D41:D44)</f>
        <v>1824754.3700700072</v>
      </c>
      <c r="F45" s="126"/>
      <c r="H45" s="156"/>
      <c r="I45" s="127"/>
    </row>
    <row r="46" spans="1:9" x14ac:dyDescent="0.2">
      <c r="A46" s="126" t="s">
        <v>199</v>
      </c>
      <c r="B46" s="156">
        <f>B18</f>
        <v>0.12</v>
      </c>
      <c r="D46" s="135">
        <f>B46*(D45-D40)</f>
        <v>213651.397272</v>
      </c>
      <c r="E46" s="266"/>
      <c r="F46" s="126" t="str">
        <f>'[21]Specialty TR -CSEC'!H50</f>
        <v>Occupancy</v>
      </c>
      <c r="H46" s="244">
        <v>30.57</v>
      </c>
      <c r="I46" s="127" t="str">
        <f>'[21]Specialty TR -CSEC'!K50</f>
        <v>Bench to 101 CMR 418 Youth Stab Res</v>
      </c>
    </row>
    <row r="47" spans="1:9" ht="13.5" thickBot="1" x14ac:dyDescent="0.25">
      <c r="A47" s="313" t="s">
        <v>214</v>
      </c>
      <c r="B47" s="235">
        <f>B40</f>
        <v>2.7812E-2</v>
      </c>
      <c r="C47" s="161"/>
      <c r="D47" s="162">
        <f>(D42+D43+D44)*B47</f>
        <v>5191.2127043999999</v>
      </c>
      <c r="F47" s="126" t="str">
        <f>'[21]Specialty TR -CSEC'!H51</f>
        <v>Programmatic expenses</v>
      </c>
      <c r="H47" s="244">
        <v>25</v>
      </c>
      <c r="I47" s="127" t="str">
        <f>'[21]Specialty TR -CSEC'!K51</f>
        <v>Bench to 101 CMR 413 IRTP</v>
      </c>
    </row>
    <row r="48" spans="1:9" ht="13.5" thickTop="1" x14ac:dyDescent="0.2">
      <c r="A48" s="122" t="s">
        <v>200</v>
      </c>
      <c r="B48" s="156"/>
      <c r="D48" s="260">
        <f>SUM(D45:D47)-0.5</f>
        <v>2043596.4800464073</v>
      </c>
      <c r="E48" s="266"/>
      <c r="F48" s="126" t="str">
        <f>'[21]Specialty TR -CSEC'!H52</f>
        <v>Additional Training Expense</v>
      </c>
      <c r="H48" s="244">
        <v>1.25</v>
      </c>
      <c r="I48" s="127" t="str">
        <f>'[21]Specialty TR -CSEC'!K52</f>
        <v>Provider recommendation</v>
      </c>
    </row>
    <row r="49" spans="1:9" x14ac:dyDescent="0.2">
      <c r="A49" s="126"/>
      <c r="D49" s="166" t="s">
        <v>201</v>
      </c>
      <c r="E49" s="266"/>
      <c r="F49" s="179" t="str">
        <f>'[21]Specialty TR -CSEC'!H53</f>
        <v>Total Reimb excl M&amp;G</v>
      </c>
      <c r="G49" s="180"/>
      <c r="H49" s="269">
        <f>'[21]Master Data'!E40</f>
        <v>55.57</v>
      </c>
      <c r="I49" s="182"/>
    </row>
    <row r="50" spans="1:9" ht="13.5" thickBot="1" x14ac:dyDescent="0.25">
      <c r="A50" s="126"/>
      <c r="B50" s="291" t="s">
        <v>225</v>
      </c>
      <c r="C50" s="261"/>
      <c r="D50" s="262">
        <f>D48/D32</f>
        <v>622.09938509784092</v>
      </c>
      <c r="F50" s="126"/>
      <c r="H50" s="156"/>
      <c r="I50" s="127"/>
    </row>
    <row r="51" spans="1:9" ht="13.5" thickBot="1" x14ac:dyDescent="0.25">
      <c r="A51" s="272" t="s">
        <v>234</v>
      </c>
      <c r="B51" s="252">
        <v>0.8</v>
      </c>
      <c r="C51" s="263"/>
      <c r="D51" s="264">
        <f>D50/B51</f>
        <v>777.6242313723011</v>
      </c>
      <c r="F51" s="126" t="str">
        <f>'[21]Specialty TR -CSEC'!H55</f>
        <v>Admin. Allocation</v>
      </c>
      <c r="H51" s="268">
        <v>0.12</v>
      </c>
      <c r="I51" s="127" t="str">
        <f>'[21]Specialty TR -CSEC'!K55</f>
        <v xml:space="preserve"> Ch. 257 Benchmark 2023</v>
      </c>
    </row>
    <row r="52" spans="1:9" ht="13.5" thickBot="1" x14ac:dyDescent="0.25">
      <c r="A52" s="230" t="s">
        <v>246</v>
      </c>
      <c r="B52" s="236">
        <v>0.9</v>
      </c>
      <c r="C52" s="265"/>
      <c r="D52" s="232">
        <f>D50/B52</f>
        <v>691.22153899760099</v>
      </c>
      <c r="F52" s="126"/>
      <c r="H52" s="156"/>
      <c r="I52" s="127"/>
    </row>
    <row r="53" spans="1:9" ht="13.5" thickBot="1" x14ac:dyDescent="0.25">
      <c r="A53" s="200"/>
      <c r="F53" s="144" t="str">
        <f>'[21]Specialty TR -CSEC'!H57</f>
        <v xml:space="preserve">CAF </v>
      </c>
      <c r="G53" s="183"/>
      <c r="H53" s="270">
        <v>2.7812E-2</v>
      </c>
      <c r="I53" s="185" t="str">
        <f>'[21]Specialty TR -CSEC'!K57</f>
        <v>FY23 &amp; FY24 CAF</v>
      </c>
    </row>
    <row r="55" spans="1:9" x14ac:dyDescent="0.2">
      <c r="A55" s="176" t="s">
        <v>460</v>
      </c>
      <c r="D55" s="267"/>
    </row>
    <row r="91" spans="5:5" ht="33.75" customHeight="1" x14ac:dyDescent="0.2"/>
    <row r="92" spans="5:5" x14ac:dyDescent="0.2">
      <c r="E92" s="271"/>
    </row>
    <row r="93" spans="5:5" x14ac:dyDescent="0.2">
      <c r="E93" s="271"/>
    </row>
    <row r="101" spans="5:5" x14ac:dyDescent="0.2">
      <c r="E101" s="163" t="e">
        <f>(D51-D55)/D55</f>
        <v>#DIV/0!</v>
      </c>
    </row>
    <row r="102" spans="5:5" x14ac:dyDescent="0.2">
      <c r="E102" s="163" t="e">
        <f>(D52-D55)/D55</f>
        <v>#DIV/0!</v>
      </c>
    </row>
  </sheetData>
  <mergeCells count="9">
    <mergeCell ref="F43:I43"/>
    <mergeCell ref="A29:D29"/>
    <mergeCell ref="A30:D31"/>
    <mergeCell ref="A1:D1"/>
    <mergeCell ref="A2:D3"/>
    <mergeCell ref="F2:I2"/>
    <mergeCell ref="G4:H4"/>
    <mergeCell ref="F16:I16"/>
    <mergeCell ref="F17:I17"/>
  </mergeCells>
  <pageMargins left="0.7" right="0.7" top="0.75" bottom="0.75" header="0.3" footer="0.3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C9FB-8F47-4528-8CC1-B686AEC5CE35}">
  <sheetPr>
    <pageSetUpPr fitToPage="1"/>
  </sheetPr>
  <dimension ref="A1:I106"/>
  <sheetViews>
    <sheetView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36.42578125" style="120" customWidth="1"/>
    <col min="2" max="2" width="12.85546875" style="120" customWidth="1"/>
    <col min="3" max="3" width="14.140625" style="120" customWidth="1"/>
    <col min="4" max="4" width="18.85546875" style="120" customWidth="1"/>
    <col min="5" max="5" width="15.5703125" style="121" customWidth="1"/>
    <col min="6" max="6" width="31.42578125" style="120" customWidth="1"/>
    <col min="7" max="7" width="13.5703125" style="120" customWidth="1"/>
    <col min="8" max="8" width="9.28515625" style="120" customWidth="1"/>
    <col min="9" max="9" width="55.140625" style="120" customWidth="1"/>
    <col min="10" max="10" width="39.5703125" style="120" customWidth="1"/>
    <col min="11" max="11" width="25.85546875" style="120" customWidth="1"/>
    <col min="12" max="16384" width="9.140625" style="120"/>
  </cols>
  <sheetData>
    <row r="1" spans="1:9" ht="13.5" customHeight="1" thickBot="1" x14ac:dyDescent="0.25">
      <c r="A1" s="912" t="s">
        <v>247</v>
      </c>
      <c r="B1" s="927"/>
      <c r="C1" s="927"/>
      <c r="D1" s="928"/>
      <c r="F1" s="921" t="s">
        <v>164</v>
      </c>
      <c r="G1" s="921"/>
      <c r="H1" s="921"/>
      <c r="I1" s="921"/>
    </row>
    <row r="2" spans="1:9" ht="13.5" thickBot="1" x14ac:dyDescent="0.25">
      <c r="A2" s="935"/>
      <c r="B2" s="936"/>
      <c r="C2" s="936"/>
      <c r="D2" s="937"/>
    </row>
    <row r="3" spans="1:9" ht="13.35" customHeight="1" thickBot="1" x14ac:dyDescent="0.25">
      <c r="A3" s="122" t="s">
        <v>165</v>
      </c>
      <c r="B3" s="128">
        <v>9</v>
      </c>
      <c r="C3" s="200" t="s">
        <v>166</v>
      </c>
      <c r="D3" s="220">
        <f>B3*365</f>
        <v>3285</v>
      </c>
      <c r="E3" s="279"/>
      <c r="F3" s="124" t="s">
        <v>167</v>
      </c>
      <c r="G3" s="922" t="s">
        <v>168</v>
      </c>
      <c r="H3" s="922"/>
      <c r="I3" s="125"/>
    </row>
    <row r="4" spans="1:9" ht="13.35" customHeight="1" thickBot="1" x14ac:dyDescent="0.25">
      <c r="A4" s="174"/>
      <c r="B4" s="175"/>
      <c r="C4" s="175" t="s">
        <v>169</v>
      </c>
      <c r="D4" s="208" t="s">
        <v>170</v>
      </c>
      <c r="E4" s="279"/>
      <c r="F4" s="122"/>
      <c r="G4" s="128" t="s">
        <v>156</v>
      </c>
      <c r="H4" s="129" t="s">
        <v>157</v>
      </c>
      <c r="I4" s="130"/>
    </row>
    <row r="5" spans="1:9" ht="15" customHeight="1" x14ac:dyDescent="0.2">
      <c r="A5" s="126" t="s">
        <v>172</v>
      </c>
      <c r="C5" s="277">
        <v>1.75</v>
      </c>
      <c r="D5" s="135">
        <v>118542</v>
      </c>
      <c r="F5" s="126" t="s">
        <v>171</v>
      </c>
      <c r="G5" s="121">
        <v>15</v>
      </c>
      <c r="H5" s="121">
        <f>G5*8</f>
        <v>120</v>
      </c>
      <c r="I5" s="130"/>
    </row>
    <row r="6" spans="1:9" ht="15" customHeight="1" x14ac:dyDescent="0.2">
      <c r="A6" s="126" t="s">
        <v>177</v>
      </c>
      <c r="B6" s="134"/>
      <c r="C6" s="218">
        <v>2.41</v>
      </c>
      <c r="D6" s="135">
        <v>308279.21999999997</v>
      </c>
      <c r="F6" s="126" t="s">
        <v>173</v>
      </c>
      <c r="G6" s="121">
        <v>8</v>
      </c>
      <c r="H6" s="121">
        <f>G6*8</f>
        <v>64</v>
      </c>
      <c r="I6" s="130"/>
    </row>
    <row r="7" spans="1:9" ht="15" customHeight="1" x14ac:dyDescent="0.2">
      <c r="A7" s="137" t="s">
        <v>220</v>
      </c>
      <c r="B7" s="274"/>
      <c r="C7" s="278">
        <v>19.95</v>
      </c>
      <c r="D7" s="275">
        <v>818970</v>
      </c>
      <c r="F7" s="126" t="s">
        <v>174</v>
      </c>
      <c r="G7" s="121">
        <v>11</v>
      </c>
      <c r="H7" s="121">
        <f>G7*8</f>
        <v>88</v>
      </c>
      <c r="I7" s="136" t="s">
        <v>493</v>
      </c>
    </row>
    <row r="8" spans="1:9" ht="15" customHeight="1" x14ac:dyDescent="0.2">
      <c r="A8" s="153" t="s">
        <v>187</v>
      </c>
      <c r="B8" s="154"/>
      <c r="C8" s="193">
        <f>SUM(C5:C7)</f>
        <v>24.11</v>
      </c>
      <c r="D8" s="155">
        <f>SUM(D5:D7)</f>
        <v>1245791.22</v>
      </c>
      <c r="F8" s="137" t="s">
        <v>176</v>
      </c>
      <c r="G8" s="138">
        <v>5</v>
      </c>
      <c r="H8" s="138">
        <f>G8*8</f>
        <v>40</v>
      </c>
      <c r="I8" s="139"/>
    </row>
    <row r="9" spans="1:9" ht="15" customHeight="1" x14ac:dyDescent="0.2">
      <c r="A9" s="122" t="s">
        <v>229</v>
      </c>
      <c r="C9" s="200"/>
      <c r="D9" s="127"/>
      <c r="F9" s="126"/>
      <c r="G9" s="141" t="s">
        <v>161</v>
      </c>
      <c r="H9" s="121">
        <f>SUM(H5:H8)</f>
        <v>312</v>
      </c>
      <c r="I9" s="142"/>
    </row>
    <row r="10" spans="1:9" ht="15" customHeight="1" thickBot="1" x14ac:dyDescent="0.25">
      <c r="A10" s="126" t="s">
        <v>192</v>
      </c>
      <c r="B10" s="156">
        <f>H42</f>
        <v>0.25390000000000001</v>
      </c>
      <c r="D10" s="135">
        <f>B10*D8</f>
        <v>316306.39075800002</v>
      </c>
      <c r="F10" s="144"/>
      <c r="G10" s="145" t="s">
        <v>178</v>
      </c>
      <c r="H10" s="280">
        <f>H9/(52*40)</f>
        <v>0.15</v>
      </c>
      <c r="I10" s="281"/>
    </row>
    <row r="11" spans="1:9" ht="15" customHeight="1" x14ac:dyDescent="0.2">
      <c r="A11" s="126" t="s">
        <v>483</v>
      </c>
      <c r="B11" s="156">
        <f>H51</f>
        <v>2.7812E-2</v>
      </c>
      <c r="D11" s="135">
        <f>(D8+D10)*B11</f>
        <v>43445.058750401498</v>
      </c>
      <c r="G11" s="224"/>
      <c r="H11" s="282"/>
      <c r="I11" s="283"/>
    </row>
    <row r="12" spans="1:9" ht="15" customHeight="1" x14ac:dyDescent="0.2">
      <c r="A12" s="153" t="s">
        <v>194</v>
      </c>
      <c r="B12" s="154"/>
      <c r="C12" s="157"/>
      <c r="D12" s="155">
        <f>SUM(D8:D11)</f>
        <v>1605542.6695084015</v>
      </c>
      <c r="G12" s="224"/>
      <c r="H12" s="282"/>
      <c r="I12" s="283"/>
    </row>
    <row r="13" spans="1:9" ht="15" customHeight="1" x14ac:dyDescent="0.2">
      <c r="A13" s="126"/>
      <c r="D13" s="229"/>
      <c r="G13" s="224"/>
      <c r="H13" s="282"/>
      <c r="I13" s="283"/>
    </row>
    <row r="14" spans="1:9" ht="15" customHeight="1" x14ac:dyDescent="0.2">
      <c r="A14" s="126" t="s">
        <v>216</v>
      </c>
      <c r="C14" s="158">
        <f>H44</f>
        <v>30.57</v>
      </c>
      <c r="D14" s="159">
        <f>C14*D3</f>
        <v>100422.45</v>
      </c>
      <c r="G14" s="224"/>
      <c r="H14" s="282"/>
      <c r="I14" s="283"/>
    </row>
    <row r="15" spans="1:9" ht="15" customHeight="1" thickBot="1" x14ac:dyDescent="0.25">
      <c r="A15" s="126" t="s">
        <v>217</v>
      </c>
      <c r="C15" s="158">
        <f>H45</f>
        <v>25</v>
      </c>
      <c r="D15" s="159">
        <f>C15*D3</f>
        <v>82125</v>
      </c>
    </row>
    <row r="16" spans="1:9" ht="15" customHeight="1" thickBot="1" x14ac:dyDescent="0.35">
      <c r="A16" s="126" t="s">
        <v>210</v>
      </c>
      <c r="C16" s="158">
        <f>H46</f>
        <v>23</v>
      </c>
      <c r="D16" s="159">
        <f>C16*D3</f>
        <v>75555</v>
      </c>
      <c r="F16" s="923" t="s">
        <v>179</v>
      </c>
      <c r="G16" s="924"/>
      <c r="H16" s="924"/>
      <c r="I16" s="925"/>
    </row>
    <row r="17" spans="1:9" ht="15" customHeight="1" x14ac:dyDescent="0.2">
      <c r="A17" s="153" t="s">
        <v>198</v>
      </c>
      <c r="B17" s="154"/>
      <c r="C17" s="154"/>
      <c r="D17" s="155">
        <f>SUM(D12:D16)</f>
        <v>1863645.1195084015</v>
      </c>
      <c r="F17" s="932"/>
      <c r="G17" s="933"/>
      <c r="H17" s="933"/>
      <c r="I17" s="934"/>
    </row>
    <row r="18" spans="1:9" ht="15" customHeight="1" x14ac:dyDescent="0.2">
      <c r="A18" s="126" t="s">
        <v>199</v>
      </c>
      <c r="B18" s="156">
        <f>H49</f>
        <v>0.12</v>
      </c>
      <c r="D18" s="135">
        <f>(D17-D11)*B18</f>
        <v>218424.00729096</v>
      </c>
      <c r="F18" s="122" t="s">
        <v>172</v>
      </c>
      <c r="G18" s="120" t="s">
        <v>226</v>
      </c>
      <c r="H18" s="134"/>
      <c r="I18" s="127"/>
    </row>
    <row r="19" spans="1:9" ht="13.5" thickBot="1" x14ac:dyDescent="0.25">
      <c r="A19" s="313" t="s">
        <v>214</v>
      </c>
      <c r="B19" s="235">
        <f>H51</f>
        <v>2.7812E-2</v>
      </c>
      <c r="C19" s="161"/>
      <c r="D19" s="162">
        <f>(D14+D15+D16)*B19</f>
        <v>7178.3453394000007</v>
      </c>
      <c r="F19" s="126" t="s">
        <v>180</v>
      </c>
      <c r="G19" s="192">
        <v>1</v>
      </c>
      <c r="H19" s="134"/>
      <c r="I19" s="127" t="s">
        <v>181</v>
      </c>
    </row>
    <row r="20" spans="1:9" ht="13.5" thickTop="1" x14ac:dyDescent="0.2">
      <c r="A20" s="122" t="s">
        <v>485</v>
      </c>
      <c r="B20" s="156"/>
      <c r="D20" s="284">
        <f>SUM(D17:D19)</f>
        <v>2089247.4721387615</v>
      </c>
      <c r="F20" s="126" t="s">
        <v>175</v>
      </c>
      <c r="G20" s="192">
        <v>0.75</v>
      </c>
      <c r="H20" s="134"/>
      <c r="I20" s="127" t="s">
        <v>181</v>
      </c>
    </row>
    <row r="21" spans="1:9" x14ac:dyDescent="0.2">
      <c r="A21" s="126"/>
      <c r="D21" s="166" t="s">
        <v>201</v>
      </c>
      <c r="F21" s="126"/>
      <c r="G21" s="192"/>
      <c r="H21" s="134"/>
      <c r="I21" s="127"/>
    </row>
    <row r="22" spans="1:9" ht="13.5" thickBot="1" x14ac:dyDescent="0.25">
      <c r="A22" s="286" t="s">
        <v>252</v>
      </c>
      <c r="B22" s="287"/>
      <c r="C22" s="288"/>
      <c r="D22" s="289">
        <f>D20/D3</f>
        <v>635.99618634361082</v>
      </c>
      <c r="F22" s="122" t="s">
        <v>177</v>
      </c>
      <c r="G22" s="192"/>
      <c r="H22" s="134"/>
      <c r="I22" s="127"/>
    </row>
    <row r="23" spans="1:9" x14ac:dyDescent="0.2">
      <c r="F23" s="126" t="s">
        <v>183</v>
      </c>
      <c r="G23" s="192">
        <v>0.75</v>
      </c>
      <c r="H23" s="134"/>
      <c r="I23" s="127" t="s">
        <v>181</v>
      </c>
    </row>
    <row r="24" spans="1:9" ht="13.35" customHeight="1" x14ac:dyDescent="0.2">
      <c r="A24" s="200"/>
      <c r="D24" s="245"/>
      <c r="F24" s="126" t="s">
        <v>184</v>
      </c>
      <c r="G24" s="192">
        <v>0.18</v>
      </c>
      <c r="H24" s="134"/>
      <c r="I24" s="127" t="s">
        <v>181</v>
      </c>
    </row>
    <row r="25" spans="1:9" x14ac:dyDescent="0.2">
      <c r="F25" s="126" t="s">
        <v>248</v>
      </c>
      <c r="G25" s="192">
        <v>0.33</v>
      </c>
      <c r="H25" s="134"/>
      <c r="I25" s="127" t="s">
        <v>181</v>
      </c>
    </row>
    <row r="26" spans="1:9" ht="13.35" customHeight="1" x14ac:dyDescent="0.2">
      <c r="D26" s="245"/>
      <c r="F26" s="126" t="s">
        <v>186</v>
      </c>
      <c r="G26" s="192">
        <v>0.6</v>
      </c>
      <c r="H26" s="134"/>
      <c r="I26" s="127" t="s">
        <v>181</v>
      </c>
    </row>
    <row r="27" spans="1:9" x14ac:dyDescent="0.2">
      <c r="F27" s="126" t="s">
        <v>249</v>
      </c>
      <c r="G27" s="192">
        <v>0.22</v>
      </c>
      <c r="H27" s="134"/>
      <c r="I27" s="127" t="s">
        <v>191</v>
      </c>
    </row>
    <row r="28" spans="1:9" ht="13.35" customHeight="1" x14ac:dyDescent="0.2">
      <c r="F28" s="126" t="s">
        <v>250</v>
      </c>
      <c r="G28" s="192">
        <v>0.33</v>
      </c>
      <c r="H28" s="134"/>
      <c r="I28" s="127" t="s">
        <v>181</v>
      </c>
    </row>
    <row r="29" spans="1:9" x14ac:dyDescent="0.2">
      <c r="F29" s="126"/>
      <c r="G29" s="192"/>
      <c r="H29" s="134"/>
      <c r="I29" s="127"/>
    </row>
    <row r="30" spans="1:9" ht="13.35" customHeight="1" x14ac:dyDescent="0.2">
      <c r="F30" s="122" t="s">
        <v>121</v>
      </c>
      <c r="I30" s="127"/>
    </row>
    <row r="31" spans="1:9" x14ac:dyDescent="0.2">
      <c r="F31" s="152" t="s">
        <v>197</v>
      </c>
      <c r="G31" s="192">
        <v>0.45</v>
      </c>
      <c r="H31" s="134"/>
      <c r="I31" s="127" t="s">
        <v>181</v>
      </c>
    </row>
    <row r="32" spans="1:9" ht="13.35" customHeight="1" x14ac:dyDescent="0.2">
      <c r="F32" s="152" t="s">
        <v>182</v>
      </c>
      <c r="G32" s="192">
        <v>1</v>
      </c>
      <c r="H32" s="134"/>
      <c r="I32" s="127" t="s">
        <v>181</v>
      </c>
    </row>
    <row r="33" spans="5:9" ht="13.35" customHeight="1" x14ac:dyDescent="0.2">
      <c r="F33" s="152" t="s">
        <v>469</v>
      </c>
      <c r="G33" s="192">
        <v>1</v>
      </c>
      <c r="H33" s="134"/>
      <c r="I33" s="127" t="s">
        <v>181</v>
      </c>
    </row>
    <row r="34" spans="5:9" ht="13.35" customHeight="1" x14ac:dyDescent="0.2">
      <c r="F34" s="152" t="s">
        <v>228</v>
      </c>
      <c r="G34" s="192">
        <v>0.33</v>
      </c>
      <c r="H34" s="134"/>
      <c r="I34" s="127" t="s">
        <v>181</v>
      </c>
    </row>
    <row r="35" spans="5:9" x14ac:dyDescent="0.2">
      <c r="F35" s="169" t="s">
        <v>202</v>
      </c>
      <c r="G35" s="192">
        <v>12.6</v>
      </c>
      <c r="H35" s="134"/>
      <c r="I35" s="127" t="s">
        <v>181</v>
      </c>
    </row>
    <row r="36" spans="5:9" ht="13.35" customHeight="1" x14ac:dyDescent="0.2">
      <c r="F36" s="152" t="s">
        <v>204</v>
      </c>
      <c r="G36" s="192">
        <v>0.68</v>
      </c>
      <c r="H36" s="134"/>
      <c r="I36" s="127" t="s">
        <v>181</v>
      </c>
    </row>
    <row r="37" spans="5:9" ht="13.35" customHeight="1" x14ac:dyDescent="0.2">
      <c r="F37" s="152" t="s">
        <v>205</v>
      </c>
      <c r="G37" s="192">
        <v>1</v>
      </c>
      <c r="H37" s="134"/>
      <c r="I37" s="127" t="s">
        <v>181</v>
      </c>
    </row>
    <row r="38" spans="5:9" ht="13.35" customHeight="1" x14ac:dyDescent="0.2">
      <c r="E38" s="285"/>
      <c r="F38" s="152" t="s">
        <v>470</v>
      </c>
      <c r="G38" s="192">
        <v>1</v>
      </c>
      <c r="H38" s="134"/>
      <c r="I38" s="127" t="s">
        <v>181</v>
      </c>
    </row>
    <row r="39" spans="5:9" x14ac:dyDescent="0.2">
      <c r="F39" s="126" t="s">
        <v>468</v>
      </c>
      <c r="G39" s="192">
        <f>G35*H10</f>
        <v>1.89</v>
      </c>
      <c r="H39" s="134"/>
      <c r="I39" s="127" t="s">
        <v>181</v>
      </c>
    </row>
    <row r="40" spans="5:9" x14ac:dyDescent="0.2">
      <c r="E40" s="120"/>
      <c r="F40" s="126"/>
      <c r="H40" s="134"/>
      <c r="I40" s="127"/>
    </row>
    <row r="41" spans="5:9" x14ac:dyDescent="0.2">
      <c r="E41" s="120"/>
      <c r="F41" s="906" t="s">
        <v>206</v>
      </c>
      <c r="G41" s="907"/>
      <c r="H41" s="907"/>
      <c r="I41" s="908"/>
    </row>
    <row r="42" spans="5:9" x14ac:dyDescent="0.2">
      <c r="F42" s="126" t="s">
        <v>192</v>
      </c>
      <c r="H42" s="268">
        <v>0.25390000000000001</v>
      </c>
      <c r="I42" s="127" t="s">
        <v>207</v>
      </c>
    </row>
    <row r="43" spans="5:9" x14ac:dyDescent="0.2">
      <c r="F43" s="126"/>
      <c r="H43" s="268"/>
      <c r="I43" s="127"/>
    </row>
    <row r="44" spans="5:9" x14ac:dyDescent="0.2">
      <c r="F44" s="126" t="s">
        <v>216</v>
      </c>
      <c r="H44" s="244">
        <v>30.57</v>
      </c>
      <c r="I44" s="127" t="s">
        <v>208</v>
      </c>
    </row>
    <row r="45" spans="5:9" ht="12.75" customHeight="1" x14ac:dyDescent="0.2">
      <c r="F45" s="126" t="s">
        <v>255</v>
      </c>
      <c r="H45" s="244">
        <v>25</v>
      </c>
      <c r="I45" s="127" t="s">
        <v>209</v>
      </c>
    </row>
    <row r="46" spans="5:9" x14ac:dyDescent="0.2">
      <c r="F46" s="126" t="s">
        <v>210</v>
      </c>
      <c r="H46" s="244">
        <v>23</v>
      </c>
      <c r="I46" s="127" t="s">
        <v>211</v>
      </c>
    </row>
    <row r="47" spans="5:9" x14ac:dyDescent="0.2">
      <c r="F47" s="179" t="s">
        <v>198</v>
      </c>
      <c r="G47" s="180"/>
      <c r="H47" s="269">
        <f>SUM(H44:H45)</f>
        <v>55.57</v>
      </c>
      <c r="I47" s="182"/>
    </row>
    <row r="48" spans="5:9" x14ac:dyDescent="0.2">
      <c r="F48" s="126"/>
      <c r="I48" s="127"/>
    </row>
    <row r="49" spans="6:9" x14ac:dyDescent="0.2">
      <c r="F49" s="126" t="s">
        <v>199</v>
      </c>
      <c r="H49" s="268">
        <v>0.12</v>
      </c>
      <c r="I49" s="127" t="s">
        <v>213</v>
      </c>
    </row>
    <row r="50" spans="6:9" x14ac:dyDescent="0.2">
      <c r="F50" s="126"/>
      <c r="H50" s="268"/>
      <c r="I50" s="127"/>
    </row>
    <row r="51" spans="6:9" ht="13.5" thickBot="1" x14ac:dyDescent="0.25">
      <c r="F51" s="144" t="s">
        <v>214</v>
      </c>
      <c r="G51" s="183"/>
      <c r="H51" s="270">
        <v>2.7812E-2</v>
      </c>
      <c r="I51" s="185" t="s">
        <v>215</v>
      </c>
    </row>
    <row r="52" spans="6:9" ht="13.5" customHeight="1" x14ac:dyDescent="0.2"/>
    <row r="64" spans="6:9" ht="13.35" customHeight="1" x14ac:dyDescent="0.2"/>
    <row r="65" spans="6:6" ht="15" customHeight="1" x14ac:dyDescent="0.2">
      <c r="F65" s="290"/>
    </row>
    <row r="67" spans="6:6" x14ac:dyDescent="0.2">
      <c r="F67" s="205"/>
    </row>
    <row r="70" spans="6:6" ht="12.75" customHeight="1" x14ac:dyDescent="0.2"/>
    <row r="100" ht="13.35" customHeight="1" x14ac:dyDescent="0.2"/>
    <row r="101" ht="15" customHeight="1" x14ac:dyDescent="0.2"/>
    <row r="106" ht="12.75" customHeight="1" x14ac:dyDescent="0.2"/>
  </sheetData>
  <mergeCells count="6">
    <mergeCell ref="F41:I41"/>
    <mergeCell ref="A1:D2"/>
    <mergeCell ref="F1:I1"/>
    <mergeCell ref="G3:H3"/>
    <mergeCell ref="F16:I16"/>
    <mergeCell ref="F17:I17"/>
  </mergeCells>
  <pageMargins left="0.7" right="0.7" top="0.75" bottom="0.75" header="0.3" footer="0.3"/>
  <pageSetup scale="84" fitToHeight="0" orientation="portrait" r:id="rId1"/>
  <headerFooter>
    <oddFooter>&amp;R2016-04-12
&amp;A
Caring Together rate review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774-026D-4E00-85A8-FA801D897D32}">
  <sheetPr>
    <pageSetUpPr fitToPage="1"/>
  </sheetPr>
  <dimension ref="A1:J128"/>
  <sheetViews>
    <sheetView topLeftCell="B1" zoomScaleNormal="100" zoomScaleSheetLayoutView="100" workbookViewId="0">
      <selection activeCell="D29" sqref="D29:D30"/>
    </sheetView>
  </sheetViews>
  <sheetFormatPr defaultColWidth="9.140625" defaultRowHeight="12.75" x14ac:dyDescent="0.2"/>
  <cols>
    <col min="1" max="1" width="3.5703125" style="120" customWidth="1"/>
    <col min="2" max="2" width="36.42578125" style="120" customWidth="1"/>
    <col min="3" max="3" width="12.85546875" style="120" customWidth="1"/>
    <col min="4" max="4" width="14.140625" style="120" customWidth="1"/>
    <col min="5" max="5" width="18.85546875" style="120" customWidth="1"/>
    <col min="6" max="6" width="20.85546875" style="121" customWidth="1"/>
    <col min="7" max="7" width="28.42578125" style="120" customWidth="1"/>
    <col min="8" max="8" width="12.42578125" style="120" customWidth="1"/>
    <col min="9" max="9" width="7.7109375" style="120" bestFit="1" customWidth="1"/>
    <col min="10" max="10" width="50.5703125" style="120" customWidth="1"/>
    <col min="11" max="11" width="36.85546875" style="120" bestFit="1" customWidth="1"/>
    <col min="12" max="12" width="25.85546875" style="120" customWidth="1"/>
    <col min="13" max="16384" width="9.140625" style="120"/>
  </cols>
  <sheetData>
    <row r="1" spans="1:10" ht="13.5" customHeight="1" thickBot="1" x14ac:dyDescent="0.25">
      <c r="B1" s="912" t="s">
        <v>256</v>
      </c>
      <c r="C1" s="927"/>
      <c r="D1" s="927"/>
      <c r="E1" s="928"/>
      <c r="G1" s="921" t="s">
        <v>164</v>
      </c>
      <c r="H1" s="921"/>
      <c r="I1" s="921"/>
      <c r="J1" s="921"/>
    </row>
    <row r="2" spans="1:10" ht="13.5" thickBot="1" x14ac:dyDescent="0.25">
      <c r="B2" s="935"/>
      <c r="C2" s="936"/>
      <c r="D2" s="936"/>
      <c r="E2" s="937"/>
    </row>
    <row r="3" spans="1:10" ht="15" customHeight="1" thickBot="1" x14ac:dyDescent="0.25">
      <c r="B3" s="122" t="s">
        <v>165</v>
      </c>
      <c r="C3" s="128">
        <v>9</v>
      </c>
      <c r="D3" s="128" t="s">
        <v>166</v>
      </c>
      <c r="E3" s="220">
        <f>C3*365</f>
        <v>3285</v>
      </c>
      <c r="F3" s="279"/>
      <c r="G3" s="124" t="s">
        <v>167</v>
      </c>
      <c r="H3" s="922" t="s">
        <v>168</v>
      </c>
      <c r="I3" s="922"/>
      <c r="J3" s="125"/>
    </row>
    <row r="4" spans="1:10" ht="15" customHeight="1" thickBot="1" x14ac:dyDescent="0.25">
      <c r="B4" s="174"/>
      <c r="C4" s="175"/>
      <c r="D4" s="175" t="s">
        <v>169</v>
      </c>
      <c r="E4" s="208" t="s">
        <v>170</v>
      </c>
      <c r="F4" s="279"/>
      <c r="G4" s="122"/>
      <c r="H4" s="128" t="s">
        <v>156</v>
      </c>
      <c r="I4" s="129" t="s">
        <v>157</v>
      </c>
      <c r="J4" s="130"/>
    </row>
    <row r="5" spans="1:10" ht="15" customHeight="1" x14ac:dyDescent="0.2">
      <c r="B5" s="126" t="s">
        <v>172</v>
      </c>
      <c r="D5" s="277">
        <v>1.75</v>
      </c>
      <c r="E5" s="135">
        <v>118542</v>
      </c>
      <c r="G5" s="126" t="s">
        <v>171</v>
      </c>
      <c r="H5" s="121">
        <v>15</v>
      </c>
      <c r="I5" s="121">
        <f>H5*8</f>
        <v>120</v>
      </c>
      <c r="J5" s="130"/>
    </row>
    <row r="6" spans="1:10" ht="15" customHeight="1" x14ac:dyDescent="0.2">
      <c r="A6" s="133"/>
      <c r="B6" s="126" t="s">
        <v>177</v>
      </c>
      <c r="D6" s="218">
        <v>3.69</v>
      </c>
      <c r="E6" s="135">
        <v>440524</v>
      </c>
      <c r="G6" s="126" t="s">
        <v>173</v>
      </c>
      <c r="H6" s="121">
        <v>8</v>
      </c>
      <c r="I6" s="121">
        <f>H6*8</f>
        <v>64</v>
      </c>
      <c r="J6" s="130"/>
    </row>
    <row r="7" spans="1:10" ht="15" customHeight="1" x14ac:dyDescent="0.2">
      <c r="A7" s="133"/>
      <c r="B7" s="137" t="s">
        <v>220</v>
      </c>
      <c r="C7" s="273"/>
      <c r="D7" s="278">
        <v>23.26</v>
      </c>
      <c r="E7" s="275">
        <v>960333</v>
      </c>
      <c r="G7" s="126" t="s">
        <v>174</v>
      </c>
      <c r="H7" s="121">
        <v>11</v>
      </c>
      <c r="I7" s="121">
        <f>H7*8</f>
        <v>88</v>
      </c>
      <c r="J7" s="136" t="s">
        <v>493</v>
      </c>
    </row>
    <row r="8" spans="1:10" ht="15" customHeight="1" x14ac:dyDescent="0.2">
      <c r="A8" s="133"/>
      <c r="B8" s="153" t="s">
        <v>187</v>
      </c>
      <c r="C8" s="154"/>
      <c r="D8" s="193">
        <f>SUM(D5:D7)</f>
        <v>28.700000000000003</v>
      </c>
      <c r="E8" s="155">
        <f>SUM(E5:E7)</f>
        <v>1519399</v>
      </c>
      <c r="G8" s="137" t="s">
        <v>176</v>
      </c>
      <c r="H8" s="138">
        <v>5</v>
      </c>
      <c r="I8" s="138">
        <f>H8*8</f>
        <v>40</v>
      </c>
      <c r="J8" s="139"/>
    </row>
    <row r="9" spans="1:10" ht="15" customHeight="1" x14ac:dyDescent="0.2">
      <c r="A9" s="133"/>
      <c r="B9" s="122" t="s">
        <v>229</v>
      </c>
      <c r="D9" s="128" t="s">
        <v>189</v>
      </c>
      <c r="E9" s="127"/>
      <c r="G9" s="126"/>
      <c r="H9" s="141" t="s">
        <v>161</v>
      </c>
      <c r="I9" s="121">
        <f>SUM(I5:I8)</f>
        <v>312</v>
      </c>
      <c r="J9" s="142"/>
    </row>
    <row r="10" spans="1:10" ht="15" customHeight="1" thickBot="1" x14ac:dyDescent="0.25">
      <c r="A10" s="128"/>
      <c r="B10" s="126" t="s">
        <v>192</v>
      </c>
      <c r="C10" s="156">
        <f>I39</f>
        <v>0.25390000000000001</v>
      </c>
      <c r="E10" s="135">
        <f>C10*E8</f>
        <v>385775.40610000002</v>
      </c>
      <c r="G10" s="144"/>
      <c r="H10" s="145" t="s">
        <v>178</v>
      </c>
      <c r="I10" s="280">
        <f>I9/(52*40)</f>
        <v>0.15</v>
      </c>
      <c r="J10" s="292"/>
    </row>
    <row r="11" spans="1:10" ht="15" customHeight="1" thickBot="1" x14ac:dyDescent="0.25">
      <c r="B11" s="126" t="s">
        <v>483</v>
      </c>
      <c r="C11" s="156">
        <f>I48</f>
        <v>2.7812E-2</v>
      </c>
      <c r="E11" s="135">
        <f>(E8+E10)*C11</f>
        <v>52986.710582453197</v>
      </c>
    </row>
    <row r="12" spans="1:10" ht="15" customHeight="1" thickBot="1" x14ac:dyDescent="0.35">
      <c r="B12" s="153" t="s">
        <v>194</v>
      </c>
      <c r="C12" s="234"/>
      <c r="D12" s="157"/>
      <c r="E12" s="155">
        <f>SUM(E8:E11)</f>
        <v>1958161.1166824533</v>
      </c>
      <c r="G12" s="923" t="s">
        <v>179</v>
      </c>
      <c r="H12" s="924"/>
      <c r="I12" s="924"/>
      <c r="J12" s="925"/>
    </row>
    <row r="13" spans="1:10" ht="15" customHeight="1" x14ac:dyDescent="0.2">
      <c r="B13" s="126"/>
      <c r="E13" s="229"/>
      <c r="G13" s="932"/>
      <c r="H13" s="933"/>
      <c r="I13" s="933"/>
      <c r="J13" s="934"/>
    </row>
    <row r="14" spans="1:10" ht="15" customHeight="1" x14ac:dyDescent="0.2">
      <c r="B14" s="126" t="s">
        <v>216</v>
      </c>
      <c r="D14" s="158">
        <f>I41</f>
        <v>30.57</v>
      </c>
      <c r="E14" s="159">
        <f>D14*E3</f>
        <v>100422.45</v>
      </c>
      <c r="G14" s="122" t="s">
        <v>172</v>
      </c>
      <c r="H14" s="120" t="s">
        <v>226</v>
      </c>
      <c r="I14" s="134"/>
      <c r="J14" s="127"/>
    </row>
    <row r="15" spans="1:10" ht="15" customHeight="1" x14ac:dyDescent="0.2">
      <c r="B15" s="126" t="s">
        <v>217</v>
      </c>
      <c r="D15" s="158">
        <f>I42</f>
        <v>25</v>
      </c>
      <c r="E15" s="159">
        <f>D15*E3</f>
        <v>82125</v>
      </c>
      <c r="G15" s="126" t="s">
        <v>180</v>
      </c>
      <c r="H15" s="192">
        <v>1</v>
      </c>
      <c r="I15" s="134"/>
      <c r="J15" s="127" t="s">
        <v>181</v>
      </c>
    </row>
    <row r="16" spans="1:10" ht="15" customHeight="1" x14ac:dyDescent="0.2">
      <c r="B16" s="126" t="s">
        <v>210</v>
      </c>
      <c r="D16" s="158">
        <f>I43</f>
        <v>23</v>
      </c>
      <c r="E16" s="159">
        <f>D16*E3</f>
        <v>75555</v>
      </c>
      <c r="G16" s="126" t="s">
        <v>175</v>
      </c>
      <c r="H16" s="192">
        <v>0.75</v>
      </c>
      <c r="I16" s="134"/>
      <c r="J16" s="127" t="s">
        <v>181</v>
      </c>
    </row>
    <row r="17" spans="2:10" ht="15" customHeight="1" x14ac:dyDescent="0.2">
      <c r="B17" s="153" t="s">
        <v>198</v>
      </c>
      <c r="C17" s="154"/>
      <c r="D17" s="154"/>
      <c r="E17" s="155">
        <f>SUM(E12:E16)</f>
        <v>2216263.5666824533</v>
      </c>
      <c r="G17" s="126"/>
      <c r="H17" s="192"/>
      <c r="I17" s="134"/>
      <c r="J17" s="127"/>
    </row>
    <row r="18" spans="2:10" ht="15" customHeight="1" x14ac:dyDescent="0.2">
      <c r="B18" s="126" t="s">
        <v>199</v>
      </c>
      <c r="C18" s="156">
        <f>I46</f>
        <v>0.12</v>
      </c>
      <c r="E18" s="135">
        <f>C18*(E17-E11)</f>
        <v>259593.22273199999</v>
      </c>
      <c r="G18" s="122" t="s">
        <v>177</v>
      </c>
      <c r="H18" s="192"/>
      <c r="I18" s="134"/>
      <c r="J18" s="127"/>
    </row>
    <row r="19" spans="2:10" ht="15" customHeight="1" thickBot="1" x14ac:dyDescent="0.25">
      <c r="B19" s="313" t="s">
        <v>214</v>
      </c>
      <c r="C19" s="235">
        <f>I48</f>
        <v>2.7812E-2</v>
      </c>
      <c r="D19" s="161"/>
      <c r="E19" s="162">
        <f>(E14+E15+E16)*C19</f>
        <v>7178.3453394000007</v>
      </c>
      <c r="G19" s="126" t="s">
        <v>183</v>
      </c>
      <c r="H19" s="192">
        <v>1</v>
      </c>
      <c r="I19" s="134"/>
      <c r="J19" s="127" t="s">
        <v>181</v>
      </c>
    </row>
    <row r="20" spans="2:10" ht="15" customHeight="1" thickTop="1" x14ac:dyDescent="0.2">
      <c r="B20" s="122" t="s">
        <v>485</v>
      </c>
      <c r="C20" s="156"/>
      <c r="E20" s="284">
        <f>SUM(E17:E19)</f>
        <v>2483035.1347538535</v>
      </c>
      <c r="G20" s="126" t="s">
        <v>184</v>
      </c>
      <c r="H20" s="192">
        <v>0.18</v>
      </c>
      <c r="I20" s="134"/>
      <c r="J20" s="127" t="s">
        <v>181</v>
      </c>
    </row>
    <row r="21" spans="2:10" ht="15" customHeight="1" x14ac:dyDescent="0.2">
      <c r="B21" s="126"/>
      <c r="E21" s="166" t="s">
        <v>201</v>
      </c>
      <c r="G21" s="126" t="s">
        <v>248</v>
      </c>
      <c r="H21" s="192">
        <v>0.5</v>
      </c>
      <c r="I21" s="134"/>
      <c r="J21" s="127" t="s">
        <v>181</v>
      </c>
    </row>
    <row r="22" spans="2:10" ht="13.5" thickBot="1" x14ac:dyDescent="0.25">
      <c r="B22" s="286" t="s">
        <v>257</v>
      </c>
      <c r="C22" s="287"/>
      <c r="D22" s="288"/>
      <c r="E22" s="289">
        <f>E20/E3</f>
        <v>755.87066506966619</v>
      </c>
      <c r="G22" s="126" t="s">
        <v>186</v>
      </c>
      <c r="H22" s="192">
        <v>0.67</v>
      </c>
      <c r="I22" s="134"/>
      <c r="J22" s="127" t="s">
        <v>181</v>
      </c>
    </row>
    <row r="23" spans="2:10" x14ac:dyDescent="0.2">
      <c r="G23" s="126" t="s">
        <v>467</v>
      </c>
      <c r="H23" s="192">
        <v>0.45</v>
      </c>
      <c r="I23" s="134"/>
      <c r="J23" s="127" t="s">
        <v>181</v>
      </c>
    </row>
    <row r="24" spans="2:10" x14ac:dyDescent="0.2">
      <c r="B24" s="200"/>
      <c r="G24" s="126" t="s">
        <v>249</v>
      </c>
      <c r="H24" s="192">
        <v>0.22</v>
      </c>
      <c r="I24" s="134"/>
      <c r="J24" s="127" t="s">
        <v>191</v>
      </c>
    </row>
    <row r="25" spans="2:10" ht="13.35" customHeight="1" x14ac:dyDescent="0.2">
      <c r="E25" s="245"/>
      <c r="G25" s="126" t="s">
        <v>250</v>
      </c>
      <c r="H25" s="192">
        <v>0.67</v>
      </c>
      <c r="I25" s="134"/>
      <c r="J25" s="127" t="s">
        <v>181</v>
      </c>
    </row>
    <row r="26" spans="2:10" ht="15" x14ac:dyDescent="0.25">
      <c r="G26" s="226"/>
      <c r="H26" s="816"/>
      <c r="I26" s="227"/>
      <c r="J26" s="228"/>
    </row>
    <row r="27" spans="2:10" ht="13.35" customHeight="1" x14ac:dyDescent="0.2">
      <c r="G27" s="122" t="s">
        <v>121</v>
      </c>
      <c r="H27" s="192"/>
      <c r="I27" s="134"/>
      <c r="J27" s="127"/>
    </row>
    <row r="28" spans="2:10" x14ac:dyDescent="0.2">
      <c r="G28" s="126" t="s">
        <v>230</v>
      </c>
      <c r="H28" s="192">
        <v>1</v>
      </c>
      <c r="I28" s="134"/>
      <c r="J28" s="127" t="s">
        <v>231</v>
      </c>
    </row>
    <row r="29" spans="2:10" ht="13.35" customHeight="1" x14ac:dyDescent="0.2">
      <c r="G29" s="152" t="s">
        <v>197</v>
      </c>
      <c r="H29" s="192">
        <v>0.22</v>
      </c>
      <c r="I29" s="134"/>
      <c r="J29" s="127" t="s">
        <v>181</v>
      </c>
    </row>
    <row r="30" spans="2:10" x14ac:dyDescent="0.2">
      <c r="G30" s="152" t="s">
        <v>182</v>
      </c>
      <c r="H30" s="192">
        <v>1</v>
      </c>
      <c r="I30" s="134"/>
      <c r="J30" s="127" t="s">
        <v>181</v>
      </c>
    </row>
    <row r="31" spans="2:10" ht="13.35" customHeight="1" x14ac:dyDescent="0.2">
      <c r="G31" s="152" t="s">
        <v>228</v>
      </c>
      <c r="H31" s="192">
        <v>0.33</v>
      </c>
      <c r="I31" s="134"/>
      <c r="J31" s="127" t="s">
        <v>181</v>
      </c>
    </row>
    <row r="32" spans="2:10" x14ac:dyDescent="0.2">
      <c r="G32" s="169" t="s">
        <v>202</v>
      </c>
      <c r="H32" s="192">
        <v>15.4</v>
      </c>
      <c r="I32" s="134"/>
      <c r="J32" s="127" t="s">
        <v>181</v>
      </c>
    </row>
    <row r="33" spans="6:10" ht="13.35" customHeight="1" x14ac:dyDescent="0.2">
      <c r="G33" s="173" t="s">
        <v>203</v>
      </c>
      <c r="H33" s="192">
        <v>1</v>
      </c>
      <c r="I33" s="134"/>
      <c r="J33" s="127" t="s">
        <v>181</v>
      </c>
    </row>
    <row r="34" spans="6:10" ht="13.35" customHeight="1" x14ac:dyDescent="0.2">
      <c r="G34" s="152" t="s">
        <v>204</v>
      </c>
      <c r="H34" s="192">
        <v>1</v>
      </c>
      <c r="I34" s="134"/>
      <c r="J34" s="127" t="s">
        <v>181</v>
      </c>
    </row>
    <row r="35" spans="6:10" ht="13.35" customHeight="1" x14ac:dyDescent="0.2">
      <c r="G35" s="152" t="s">
        <v>205</v>
      </c>
      <c r="H35" s="192">
        <v>1</v>
      </c>
      <c r="I35" s="134"/>
      <c r="J35" s="127" t="s">
        <v>181</v>
      </c>
    </row>
    <row r="36" spans="6:10" x14ac:dyDescent="0.2">
      <c r="G36" s="126" t="s">
        <v>468</v>
      </c>
      <c r="H36" s="192">
        <f>H32*I10</f>
        <v>2.31</v>
      </c>
      <c r="I36" s="134"/>
      <c r="J36" s="127" t="s">
        <v>181</v>
      </c>
    </row>
    <row r="37" spans="6:10" ht="13.35" customHeight="1" x14ac:dyDescent="0.2">
      <c r="G37" s="126"/>
      <c r="I37" s="134"/>
      <c r="J37" s="127"/>
    </row>
    <row r="38" spans="6:10" ht="13.35" customHeight="1" x14ac:dyDescent="0.2">
      <c r="G38" s="906" t="s">
        <v>206</v>
      </c>
      <c r="H38" s="907"/>
      <c r="I38" s="907"/>
      <c r="J38" s="908"/>
    </row>
    <row r="39" spans="6:10" ht="13.35" customHeight="1" x14ac:dyDescent="0.2">
      <c r="G39" s="126" t="s">
        <v>192</v>
      </c>
      <c r="I39" s="268">
        <f>'[21]Master Data'!E35</f>
        <v>0.25390000000000001</v>
      </c>
      <c r="J39" s="127" t="s">
        <v>207</v>
      </c>
    </row>
    <row r="40" spans="6:10" x14ac:dyDescent="0.2">
      <c r="F40" s="293"/>
      <c r="G40" s="126"/>
      <c r="I40" s="268"/>
      <c r="J40" s="127"/>
    </row>
    <row r="41" spans="6:10" x14ac:dyDescent="0.2">
      <c r="G41" s="126" t="s">
        <v>216</v>
      </c>
      <c r="I41" s="244">
        <f>'[21]Master Data'!E37</f>
        <v>30.57</v>
      </c>
      <c r="J41" s="127" t="s">
        <v>208</v>
      </c>
    </row>
    <row r="42" spans="6:10" x14ac:dyDescent="0.2">
      <c r="G42" s="126" t="s">
        <v>255</v>
      </c>
      <c r="I42" s="244">
        <f>'[21]Master Data'!E38</f>
        <v>25</v>
      </c>
      <c r="J42" s="127" t="s">
        <v>209</v>
      </c>
    </row>
    <row r="43" spans="6:10" x14ac:dyDescent="0.2">
      <c r="G43" s="126" t="s">
        <v>210</v>
      </c>
      <c r="I43" s="334">
        <v>23</v>
      </c>
      <c r="J43" s="127" t="s">
        <v>211</v>
      </c>
    </row>
    <row r="44" spans="6:10" x14ac:dyDescent="0.2">
      <c r="G44" s="179" t="s">
        <v>198</v>
      </c>
      <c r="H44" s="180"/>
      <c r="I44" s="244">
        <f>'[21]Master Data'!E40</f>
        <v>55.57</v>
      </c>
      <c r="J44" s="182"/>
    </row>
    <row r="45" spans="6:10" x14ac:dyDescent="0.2">
      <c r="G45" s="126"/>
      <c r="I45" s="268"/>
      <c r="J45" s="127"/>
    </row>
    <row r="46" spans="6:10" x14ac:dyDescent="0.2">
      <c r="G46" s="126" t="s">
        <v>199</v>
      </c>
      <c r="I46" s="268">
        <v>0.12</v>
      </c>
      <c r="J46" s="127" t="s">
        <v>213</v>
      </c>
    </row>
    <row r="47" spans="6:10" x14ac:dyDescent="0.2">
      <c r="G47" s="126"/>
      <c r="I47" s="268"/>
      <c r="J47" s="127"/>
    </row>
    <row r="48" spans="6:10" ht="13.5" thickBot="1" x14ac:dyDescent="0.25">
      <c r="G48" s="144" t="s">
        <v>214</v>
      </c>
      <c r="H48" s="183"/>
      <c r="I48" s="270">
        <v>2.7812E-2</v>
      </c>
      <c r="J48" s="185" t="s">
        <v>215</v>
      </c>
    </row>
    <row r="50" spans="1:7" x14ac:dyDescent="0.2">
      <c r="G50" s="205"/>
    </row>
    <row r="51" spans="1:7" ht="13.35" customHeight="1" x14ac:dyDescent="0.2"/>
    <row r="52" spans="1:7" ht="15" customHeight="1" x14ac:dyDescent="0.2"/>
    <row r="57" spans="1:7" ht="12.75" customHeight="1" x14ac:dyDescent="0.2"/>
    <row r="58" spans="1:7" x14ac:dyDescent="0.2">
      <c r="A58" s="244"/>
    </row>
    <row r="59" spans="1:7" x14ac:dyDescent="0.2">
      <c r="A59" s="158"/>
    </row>
    <row r="60" spans="1:7" x14ac:dyDescent="0.2">
      <c r="A60" s="158"/>
    </row>
    <row r="61" spans="1:7" x14ac:dyDescent="0.2">
      <c r="A61" s="158"/>
    </row>
    <row r="64" spans="1:7" x14ac:dyDescent="0.2">
      <c r="A64" s="133"/>
    </row>
    <row r="65" spans="1:1" x14ac:dyDescent="0.2">
      <c r="A65" s="128"/>
    </row>
    <row r="87" spans="1:1" ht="13.35" customHeight="1" x14ac:dyDescent="0.2"/>
    <row r="88" spans="1:1" ht="15" customHeight="1" x14ac:dyDescent="0.2"/>
    <row r="93" spans="1:1" ht="12.75" customHeight="1" x14ac:dyDescent="0.2">
      <c r="A93" s="158"/>
    </row>
    <row r="94" spans="1:1" x14ac:dyDescent="0.2">
      <c r="A94" s="244"/>
    </row>
    <row r="95" spans="1:1" x14ac:dyDescent="0.2">
      <c r="A95" s="158"/>
    </row>
    <row r="96" spans="1:1" x14ac:dyDescent="0.2">
      <c r="A96" s="158"/>
    </row>
    <row r="97" spans="1:1" x14ac:dyDescent="0.2">
      <c r="A97" s="158"/>
    </row>
    <row r="99" spans="1:1" x14ac:dyDescent="0.2">
      <c r="A99" s="290"/>
    </row>
    <row r="100" spans="1:1" x14ac:dyDescent="0.2">
      <c r="A100" s="133"/>
    </row>
    <row r="101" spans="1:1" x14ac:dyDescent="0.2">
      <c r="A101" s="128"/>
    </row>
    <row r="125" spans="1:1" x14ac:dyDescent="0.2">
      <c r="A125" s="244"/>
    </row>
    <row r="126" spans="1:1" x14ac:dyDescent="0.2">
      <c r="A126" s="158"/>
    </row>
    <row r="127" spans="1:1" x14ac:dyDescent="0.2">
      <c r="A127" s="158"/>
    </row>
    <row r="128" spans="1:1" x14ac:dyDescent="0.2">
      <c r="A128" s="158"/>
    </row>
  </sheetData>
  <mergeCells count="6">
    <mergeCell ref="G38:J38"/>
    <mergeCell ref="B1:E2"/>
    <mergeCell ref="G1:J1"/>
    <mergeCell ref="H3:I3"/>
    <mergeCell ref="G12:J12"/>
    <mergeCell ref="G13:J13"/>
  </mergeCells>
  <pageMargins left="0.7" right="0.7" top="0.75" bottom="0.75" header="0.3" footer="0.3"/>
  <pageSetup scale="84" fitToHeight="0" orientation="portrait" r:id="rId1"/>
  <headerFooter>
    <oddFooter>&amp;R2016-04-12
&amp;A
Caring Together rate review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46F6-A73D-4E53-94B3-A200595C111A}">
  <sheetPr>
    <pageSetUpPr fitToPage="1"/>
  </sheetPr>
  <dimension ref="A1:J126"/>
  <sheetViews>
    <sheetView topLeftCell="B1" zoomScale="90" zoomScaleNormal="90" zoomScaleSheetLayoutView="100" workbookViewId="0">
      <selection activeCell="D5" sqref="D5:D7"/>
    </sheetView>
  </sheetViews>
  <sheetFormatPr defaultColWidth="9.140625" defaultRowHeight="12.75" x14ac:dyDescent="0.2"/>
  <cols>
    <col min="1" max="1" width="3.5703125" style="120" customWidth="1"/>
    <col min="2" max="2" width="31.85546875" style="120" customWidth="1"/>
    <col min="3" max="3" width="12.85546875" style="120" customWidth="1"/>
    <col min="4" max="4" width="15.5703125" style="120" customWidth="1"/>
    <col min="5" max="5" width="19.140625" style="120" customWidth="1"/>
    <col min="6" max="6" width="22.85546875" style="120" customWidth="1"/>
    <col min="7" max="7" width="31.85546875" style="120" bestFit="1" customWidth="1"/>
    <col min="8" max="8" width="14" style="120" customWidth="1"/>
    <col min="9" max="9" width="8.42578125" style="120" bestFit="1" customWidth="1"/>
    <col min="10" max="10" width="55.5703125" style="120" customWidth="1"/>
    <col min="11" max="11" width="36.85546875" style="120" bestFit="1" customWidth="1"/>
    <col min="12" max="12" width="25.85546875" style="120" customWidth="1"/>
    <col min="13" max="16384" width="9.140625" style="120"/>
  </cols>
  <sheetData>
    <row r="1" spans="1:10" ht="13.5" customHeight="1" thickBot="1" x14ac:dyDescent="0.25">
      <c r="B1" s="912" t="s">
        <v>258</v>
      </c>
      <c r="C1" s="913"/>
      <c r="D1" s="913"/>
      <c r="E1" s="914"/>
      <c r="G1" s="921" t="s">
        <v>164</v>
      </c>
      <c r="H1" s="921"/>
      <c r="I1" s="921"/>
      <c r="J1" s="921"/>
    </row>
    <row r="2" spans="1:10" ht="13.5" thickBot="1" x14ac:dyDescent="0.25">
      <c r="B2" s="915"/>
      <c r="C2" s="916"/>
      <c r="D2" s="916"/>
      <c r="E2" s="917"/>
    </row>
    <row r="3" spans="1:10" ht="15" customHeight="1" thickBot="1" x14ac:dyDescent="0.25">
      <c r="B3" s="122" t="s">
        <v>165</v>
      </c>
      <c r="C3" s="128">
        <v>9</v>
      </c>
      <c r="D3" s="200" t="s">
        <v>166</v>
      </c>
      <c r="E3" s="220">
        <f>C3*365</f>
        <v>3285</v>
      </c>
      <c r="F3" s="294"/>
      <c r="G3" s="124" t="s">
        <v>167</v>
      </c>
      <c r="H3" s="922" t="s">
        <v>168</v>
      </c>
      <c r="I3" s="922"/>
      <c r="J3" s="125"/>
    </row>
    <row r="4" spans="1:10" ht="15" customHeight="1" thickBot="1" x14ac:dyDescent="0.25">
      <c r="B4" s="174"/>
      <c r="C4" s="175"/>
      <c r="D4" s="175" t="s">
        <v>169</v>
      </c>
      <c r="E4" s="208" t="s">
        <v>170</v>
      </c>
      <c r="F4" s="294"/>
      <c r="G4" s="122"/>
      <c r="H4" s="128" t="s">
        <v>156</v>
      </c>
      <c r="I4" s="129" t="s">
        <v>157</v>
      </c>
      <c r="J4" s="130"/>
    </row>
    <row r="5" spans="1:10" ht="15" customHeight="1" x14ac:dyDescent="0.2">
      <c r="B5" s="126" t="s">
        <v>172</v>
      </c>
      <c r="D5" s="277">
        <v>0.3</v>
      </c>
      <c r="E5" s="135">
        <v>18782</v>
      </c>
      <c r="G5" s="126" t="s">
        <v>171</v>
      </c>
      <c r="H5" s="121">
        <v>15</v>
      </c>
      <c r="I5" s="121">
        <f>H5*8</f>
        <v>120</v>
      </c>
      <c r="J5" s="130"/>
    </row>
    <row r="6" spans="1:10" ht="15" customHeight="1" x14ac:dyDescent="0.2">
      <c r="A6" s="133"/>
      <c r="B6" s="126" t="s">
        <v>177</v>
      </c>
      <c r="D6" s="218">
        <v>0.35720000000000002</v>
      </c>
      <c r="E6" s="135">
        <v>68891</v>
      </c>
      <c r="G6" s="126" t="s">
        <v>173</v>
      </c>
      <c r="H6" s="121">
        <v>8</v>
      </c>
      <c r="I6" s="121">
        <f>H6*8</f>
        <v>64</v>
      </c>
      <c r="J6" s="130"/>
    </row>
    <row r="7" spans="1:10" ht="15" customHeight="1" x14ac:dyDescent="0.2">
      <c r="A7" s="133"/>
      <c r="B7" s="137" t="s">
        <v>220</v>
      </c>
      <c r="C7" s="273"/>
      <c r="D7" s="278">
        <v>0.88</v>
      </c>
      <c r="E7" s="275">
        <v>39307</v>
      </c>
      <c r="G7" s="126" t="s">
        <v>174</v>
      </c>
      <c r="H7" s="121">
        <v>11</v>
      </c>
      <c r="I7" s="121">
        <f>H7*8</f>
        <v>88</v>
      </c>
      <c r="J7" s="136" t="s">
        <v>493</v>
      </c>
    </row>
    <row r="8" spans="1:10" ht="15" customHeight="1" x14ac:dyDescent="0.2">
      <c r="A8" s="133"/>
      <c r="B8" s="153" t="s">
        <v>187</v>
      </c>
      <c r="C8" s="154"/>
      <c r="D8" s="193">
        <f>SUM(D5:D7)</f>
        <v>1.5371999999999999</v>
      </c>
      <c r="E8" s="155">
        <f>SUM(E5:E7)</f>
        <v>126980</v>
      </c>
      <c r="G8" s="137" t="s">
        <v>176</v>
      </c>
      <c r="H8" s="138">
        <v>5</v>
      </c>
      <c r="I8" s="138">
        <f>H8*8</f>
        <v>40</v>
      </c>
      <c r="J8" s="139"/>
    </row>
    <row r="9" spans="1:10" ht="15" customHeight="1" x14ac:dyDescent="0.2">
      <c r="A9" s="133"/>
      <c r="B9" s="122" t="s">
        <v>229</v>
      </c>
      <c r="D9" s="128"/>
      <c r="E9" s="127"/>
      <c r="G9" s="126"/>
      <c r="H9" s="141" t="s">
        <v>161</v>
      </c>
      <c r="I9" s="121">
        <f>SUM(I5:I8)</f>
        <v>312</v>
      </c>
      <c r="J9" s="142"/>
    </row>
    <row r="10" spans="1:10" ht="15" customHeight="1" thickBot="1" x14ac:dyDescent="0.25">
      <c r="A10" s="128"/>
      <c r="B10" s="126" t="s">
        <v>192</v>
      </c>
      <c r="C10" s="156">
        <f>I36</f>
        <v>0.25390000000000001</v>
      </c>
      <c r="E10" s="135">
        <f>C10*E8</f>
        <v>32240.222000000002</v>
      </c>
      <c r="G10" s="144"/>
      <c r="H10" s="145" t="s">
        <v>178</v>
      </c>
      <c r="I10" s="280">
        <f>I9/(52*40)</f>
        <v>0.15</v>
      </c>
      <c r="J10" s="292"/>
    </row>
    <row r="11" spans="1:10" ht="15" customHeight="1" x14ac:dyDescent="0.2">
      <c r="B11" s="126" t="s">
        <v>483</v>
      </c>
      <c r="C11" s="156">
        <f>I45</f>
        <v>2.7812E-2</v>
      </c>
      <c r="E11" s="135">
        <f>(E8+E10)*C11</f>
        <v>4428.2328142639999</v>
      </c>
      <c r="H11" s="224"/>
      <c r="I11" s="282"/>
      <c r="J11" s="283"/>
    </row>
    <row r="12" spans="1:10" ht="15" customHeight="1" x14ac:dyDescent="0.2">
      <c r="B12" s="153" t="s">
        <v>194</v>
      </c>
      <c r="C12" s="154"/>
      <c r="D12" s="157"/>
      <c r="E12" s="155">
        <f>SUM(E8:E11)</f>
        <v>163648.454814264</v>
      </c>
    </row>
    <row r="13" spans="1:10" ht="15" customHeight="1" x14ac:dyDescent="0.2">
      <c r="B13" s="126"/>
      <c r="E13" s="229"/>
    </row>
    <row r="14" spans="1:10" ht="15" customHeight="1" x14ac:dyDescent="0.2">
      <c r="B14" s="126" t="s">
        <v>216</v>
      </c>
      <c r="D14" s="158">
        <f>I38</f>
        <v>30.57</v>
      </c>
      <c r="E14" s="159">
        <f>D14*E3</f>
        <v>100422.45</v>
      </c>
    </row>
    <row r="15" spans="1:10" ht="15" customHeight="1" thickBot="1" x14ac:dyDescent="0.25">
      <c r="B15" s="126" t="s">
        <v>217</v>
      </c>
      <c r="D15" s="158">
        <f>I39</f>
        <v>25</v>
      </c>
      <c r="E15" s="159">
        <f>D15*E3</f>
        <v>82125</v>
      </c>
    </row>
    <row r="16" spans="1:10" ht="15" customHeight="1" thickBot="1" x14ac:dyDescent="0.35">
      <c r="B16" s="126" t="s">
        <v>210</v>
      </c>
      <c r="D16" s="158">
        <f>I40</f>
        <v>0</v>
      </c>
      <c r="E16" s="159">
        <f>D16*E3</f>
        <v>0</v>
      </c>
      <c r="G16" s="923" t="s">
        <v>179</v>
      </c>
      <c r="H16" s="924"/>
      <c r="I16" s="924"/>
      <c r="J16" s="925"/>
    </row>
    <row r="17" spans="2:10" ht="15" customHeight="1" x14ac:dyDescent="0.2">
      <c r="B17" s="153" t="s">
        <v>198</v>
      </c>
      <c r="C17" s="154"/>
      <c r="D17" s="154"/>
      <c r="E17" s="155">
        <f>SUM(E12:E16)</f>
        <v>346195.90481426398</v>
      </c>
      <c r="G17" s="932"/>
      <c r="H17" s="933"/>
      <c r="I17" s="933"/>
      <c r="J17" s="934"/>
    </row>
    <row r="18" spans="2:10" ht="15" customHeight="1" x14ac:dyDescent="0.2">
      <c r="B18" s="126" t="s">
        <v>199</v>
      </c>
      <c r="C18" s="156">
        <f>I43</f>
        <v>0.12</v>
      </c>
      <c r="E18" s="135">
        <f>C18*(E17-E11)</f>
        <v>41012.120639999994</v>
      </c>
      <c r="G18" s="122" t="s">
        <v>172</v>
      </c>
      <c r="H18" s="120" t="s">
        <v>226</v>
      </c>
      <c r="I18" s="134"/>
      <c r="J18" s="127"/>
    </row>
    <row r="19" spans="2:10" ht="15" customHeight="1" thickBot="1" x14ac:dyDescent="0.25">
      <c r="B19" s="313" t="s">
        <v>214</v>
      </c>
      <c r="C19" s="235">
        <f>I45</f>
        <v>2.7812E-2</v>
      </c>
      <c r="D19" s="161"/>
      <c r="E19" s="162">
        <f>(E14+E15+E16)*C19</f>
        <v>5077.0096794000001</v>
      </c>
      <c r="G19" s="126" t="s">
        <v>180</v>
      </c>
      <c r="H19" s="192">
        <v>0.05</v>
      </c>
      <c r="I19" s="134"/>
      <c r="J19" s="127" t="s">
        <v>181</v>
      </c>
    </row>
    <row r="20" spans="2:10" ht="15" customHeight="1" thickTop="1" x14ac:dyDescent="0.2">
      <c r="B20" s="122" t="s">
        <v>485</v>
      </c>
      <c r="C20" s="156"/>
      <c r="E20" s="284">
        <f>SUM(E17:E19)</f>
        <v>392285.03513366397</v>
      </c>
      <c r="G20" s="126" t="s">
        <v>175</v>
      </c>
      <c r="H20" s="192">
        <v>0.25</v>
      </c>
      <c r="I20" s="134"/>
      <c r="J20" s="127" t="s">
        <v>181</v>
      </c>
    </row>
    <row r="21" spans="2:10" ht="15" customHeight="1" x14ac:dyDescent="0.2">
      <c r="B21" s="126"/>
      <c r="E21" s="166" t="s">
        <v>201</v>
      </c>
      <c r="G21" s="126"/>
      <c r="H21" s="192"/>
      <c r="I21" s="134"/>
      <c r="J21" s="127"/>
    </row>
    <row r="22" spans="2:10" ht="15" customHeight="1" x14ac:dyDescent="0.2">
      <c r="B22" s="122" t="s">
        <v>201</v>
      </c>
      <c r="C22" s="156"/>
      <c r="D22" s="244"/>
      <c r="E22" s="295">
        <f>E20/E3</f>
        <v>119.41705787934977</v>
      </c>
      <c r="G22" s="122" t="s">
        <v>177</v>
      </c>
      <c r="H22" s="192"/>
      <c r="I22" s="134"/>
      <c r="J22" s="127"/>
    </row>
    <row r="23" spans="2:10" x14ac:dyDescent="0.2">
      <c r="B23" s="296"/>
      <c r="C23" s="273"/>
      <c r="D23" s="298"/>
      <c r="E23" s="299"/>
      <c r="G23" s="126" t="s">
        <v>183</v>
      </c>
      <c r="H23" s="192">
        <v>0.23</v>
      </c>
      <c r="I23" s="134"/>
      <c r="J23" s="127" t="s">
        <v>181</v>
      </c>
    </row>
    <row r="24" spans="2:10" x14ac:dyDescent="0.2">
      <c r="G24" s="126" t="s">
        <v>184</v>
      </c>
      <c r="H24" s="192">
        <v>0.13</v>
      </c>
      <c r="I24" s="134"/>
      <c r="J24" s="127" t="s">
        <v>181</v>
      </c>
    </row>
    <row r="25" spans="2:10" x14ac:dyDescent="0.2">
      <c r="G25" s="126"/>
      <c r="H25" s="192"/>
      <c r="I25" s="134"/>
      <c r="J25" s="127"/>
    </row>
    <row r="26" spans="2:10" x14ac:dyDescent="0.2">
      <c r="E26" s="245"/>
      <c r="G26" s="122" t="s">
        <v>121</v>
      </c>
      <c r="H26" s="192"/>
      <c r="I26" s="134"/>
      <c r="J26" s="127"/>
    </row>
    <row r="27" spans="2:10" x14ac:dyDescent="0.2">
      <c r="G27" s="126" t="s">
        <v>471</v>
      </c>
      <c r="H27" s="192">
        <v>0.1</v>
      </c>
      <c r="I27" s="134"/>
      <c r="J27" s="127" t="s">
        <v>181</v>
      </c>
    </row>
    <row r="28" spans="2:10" x14ac:dyDescent="0.2">
      <c r="G28" s="152" t="s">
        <v>228</v>
      </c>
      <c r="H28" s="192">
        <v>0.1</v>
      </c>
      <c r="I28" s="134"/>
      <c r="J28" s="127" t="s">
        <v>181</v>
      </c>
    </row>
    <row r="29" spans="2:10" x14ac:dyDescent="0.2">
      <c r="G29" s="152" t="s">
        <v>197</v>
      </c>
      <c r="H29" s="192">
        <v>0.11</v>
      </c>
      <c r="I29" s="134"/>
      <c r="J29" s="127" t="s">
        <v>181</v>
      </c>
    </row>
    <row r="30" spans="2:10" x14ac:dyDescent="0.2">
      <c r="G30" s="152" t="s">
        <v>204</v>
      </c>
      <c r="H30" s="192">
        <v>0.34</v>
      </c>
      <c r="I30" s="134"/>
      <c r="J30" s="127" t="s">
        <v>231</v>
      </c>
    </row>
    <row r="31" spans="2:10" x14ac:dyDescent="0.2">
      <c r="F31" s="302"/>
      <c r="G31" s="152" t="s">
        <v>205</v>
      </c>
      <c r="H31" s="192">
        <v>0.22500000000000001</v>
      </c>
      <c r="I31" s="134"/>
      <c r="J31" s="127" t="s">
        <v>181</v>
      </c>
    </row>
    <row r="32" spans="2:10" x14ac:dyDescent="0.2">
      <c r="H32" s="192"/>
      <c r="I32" s="134"/>
      <c r="J32" s="127"/>
    </row>
    <row r="33" spans="7:10" x14ac:dyDescent="0.2">
      <c r="G33" s="126"/>
      <c r="H33" s="192"/>
      <c r="I33" s="134"/>
      <c r="J33" s="127"/>
    </row>
    <row r="34" spans="7:10" x14ac:dyDescent="0.2">
      <c r="G34" s="126"/>
      <c r="I34" s="134"/>
      <c r="J34" s="127"/>
    </row>
    <row r="35" spans="7:10" x14ac:dyDescent="0.2">
      <c r="G35" s="906" t="s">
        <v>206</v>
      </c>
      <c r="H35" s="907"/>
      <c r="I35" s="907"/>
      <c r="J35" s="908"/>
    </row>
    <row r="36" spans="7:10" x14ac:dyDescent="0.2">
      <c r="G36" s="126" t="s">
        <v>192</v>
      </c>
      <c r="I36" s="268">
        <v>0.25390000000000001</v>
      </c>
      <c r="J36" s="127" t="s">
        <v>207</v>
      </c>
    </row>
    <row r="37" spans="7:10" x14ac:dyDescent="0.2">
      <c r="G37" s="126"/>
      <c r="I37" s="156"/>
      <c r="J37" s="127"/>
    </row>
    <row r="38" spans="7:10" x14ac:dyDescent="0.2">
      <c r="G38" s="126" t="str">
        <f>'[21]Master Data'!C37</f>
        <v>Occupancy</v>
      </c>
      <c r="I38" s="244">
        <v>30.57</v>
      </c>
      <c r="J38" s="127" t="s">
        <v>208</v>
      </c>
    </row>
    <row r="39" spans="7:10" x14ac:dyDescent="0.2">
      <c r="G39" s="126" t="str">
        <f>'[21]Master Data'!C38</f>
        <v>Programmatic expenses</v>
      </c>
      <c r="I39" s="244">
        <v>25</v>
      </c>
      <c r="J39" s="127" t="s">
        <v>209</v>
      </c>
    </row>
    <row r="40" spans="7:10" x14ac:dyDescent="0.2">
      <c r="G40" s="126" t="s">
        <v>210</v>
      </c>
      <c r="I40" s="244">
        <v>0</v>
      </c>
      <c r="J40" s="127" t="s">
        <v>211</v>
      </c>
    </row>
    <row r="41" spans="7:10" x14ac:dyDescent="0.2">
      <c r="G41" s="179" t="s">
        <v>198</v>
      </c>
      <c r="H41" s="180"/>
      <c r="I41" s="181">
        <f>SUM(I38:I39)</f>
        <v>55.57</v>
      </c>
      <c r="J41" s="182"/>
    </row>
    <row r="42" spans="7:10" x14ac:dyDescent="0.2">
      <c r="G42" s="126"/>
      <c r="J42" s="127"/>
    </row>
    <row r="43" spans="7:10" x14ac:dyDescent="0.2">
      <c r="G43" s="126" t="s">
        <v>199</v>
      </c>
      <c r="I43" s="268">
        <v>0.12</v>
      </c>
      <c r="J43" s="127" t="s">
        <v>213</v>
      </c>
    </row>
    <row r="44" spans="7:10" ht="13.35" customHeight="1" x14ac:dyDescent="0.2">
      <c r="G44" s="126"/>
      <c r="J44" s="127"/>
    </row>
    <row r="45" spans="7:10" ht="13.5" thickBot="1" x14ac:dyDescent="0.25">
      <c r="G45" s="144" t="s">
        <v>214</v>
      </c>
      <c r="H45" s="183"/>
      <c r="I45" s="270">
        <v>2.7812E-2</v>
      </c>
      <c r="J45" s="185" t="s">
        <v>215</v>
      </c>
    </row>
    <row r="47" spans="7:10" x14ac:dyDescent="0.2">
      <c r="G47" s="205"/>
    </row>
    <row r="49" spans="1:1" ht="13.35" customHeight="1" x14ac:dyDescent="0.2"/>
    <row r="50" spans="1:1" ht="15" customHeight="1" x14ac:dyDescent="0.2"/>
    <row r="55" spans="1:1" ht="12.75" customHeight="1" x14ac:dyDescent="0.2"/>
    <row r="56" spans="1:1" x14ac:dyDescent="0.2">
      <c r="A56" s="244"/>
    </row>
    <row r="57" spans="1:1" x14ac:dyDescent="0.2">
      <c r="A57" s="158"/>
    </row>
    <row r="58" spans="1:1" x14ac:dyDescent="0.2">
      <c r="A58" s="158"/>
    </row>
    <row r="59" spans="1:1" x14ac:dyDescent="0.2">
      <c r="A59" s="158"/>
    </row>
    <row r="62" spans="1:1" x14ac:dyDescent="0.2">
      <c r="A62" s="133"/>
    </row>
    <row r="63" spans="1:1" x14ac:dyDescent="0.2">
      <c r="A63" s="128"/>
    </row>
    <row r="85" spans="1:1" ht="13.35" customHeight="1" x14ac:dyDescent="0.2"/>
    <row r="86" spans="1:1" ht="15" customHeight="1" x14ac:dyDescent="0.2"/>
    <row r="91" spans="1:1" ht="12.75" customHeight="1" x14ac:dyDescent="0.2">
      <c r="A91" s="158"/>
    </row>
    <row r="92" spans="1:1" x14ac:dyDescent="0.2">
      <c r="A92" s="244"/>
    </row>
    <row r="93" spans="1:1" x14ac:dyDescent="0.2">
      <c r="A93" s="158"/>
    </row>
    <row r="94" spans="1:1" x14ac:dyDescent="0.2">
      <c r="A94" s="158"/>
    </row>
    <row r="95" spans="1:1" x14ac:dyDescent="0.2">
      <c r="A95" s="158"/>
    </row>
    <row r="97" spans="1:1" x14ac:dyDescent="0.2">
      <c r="A97" s="290"/>
    </row>
    <row r="98" spans="1:1" x14ac:dyDescent="0.2">
      <c r="A98" s="133"/>
    </row>
    <row r="99" spans="1:1" x14ac:dyDescent="0.2">
      <c r="A99" s="128"/>
    </row>
    <row r="123" spans="1:1" x14ac:dyDescent="0.2">
      <c r="A123" s="244"/>
    </row>
    <row r="124" spans="1:1" x14ac:dyDescent="0.2">
      <c r="A124" s="158"/>
    </row>
    <row r="125" spans="1:1" x14ac:dyDescent="0.2">
      <c r="A125" s="158"/>
    </row>
    <row r="126" spans="1:1" x14ac:dyDescent="0.2">
      <c r="A126" s="158"/>
    </row>
  </sheetData>
  <mergeCells count="6">
    <mergeCell ref="G35:J35"/>
    <mergeCell ref="B1:E2"/>
    <mergeCell ref="G1:J1"/>
    <mergeCell ref="H3:I3"/>
    <mergeCell ref="G16:J16"/>
    <mergeCell ref="G17:J17"/>
  </mergeCells>
  <pageMargins left="0.7" right="0.7" top="0.75" bottom="0.75" header="0.3" footer="0.3"/>
  <pageSetup scale="82" fitToHeight="0" orientation="portrait" r:id="rId1"/>
  <headerFooter>
    <oddFooter>&amp;R2016-04-12
&amp;A
Caring Together rate review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BEEB-D5E7-418E-A046-02980208DE62}">
  <sheetPr>
    <pageSetUpPr fitToPage="1"/>
  </sheetPr>
  <dimension ref="A1:J118"/>
  <sheetViews>
    <sheetView topLeftCell="A19" zoomScaleNormal="100" zoomScaleSheetLayoutView="100" workbookViewId="0">
      <selection activeCell="D24" sqref="D24"/>
    </sheetView>
  </sheetViews>
  <sheetFormatPr defaultColWidth="9.140625" defaultRowHeight="12.75" x14ac:dyDescent="0.2"/>
  <cols>
    <col min="1" max="1" width="3.5703125" style="120" customWidth="1"/>
    <col min="2" max="2" width="36.42578125" style="120" customWidth="1"/>
    <col min="3" max="3" width="12.85546875" style="120" customWidth="1"/>
    <col min="4" max="4" width="14.140625" style="120" customWidth="1"/>
    <col min="5" max="5" width="18.85546875" style="120" customWidth="1"/>
    <col min="6" max="6" width="16.28515625" style="120" customWidth="1"/>
    <col min="7" max="7" width="31.85546875" style="120" bestFit="1" customWidth="1"/>
    <col min="8" max="8" width="15.85546875" style="120" customWidth="1"/>
    <col min="9" max="9" width="7.7109375" style="120" bestFit="1" customWidth="1"/>
    <col min="10" max="10" width="54.140625" style="120" customWidth="1"/>
    <col min="11" max="11" width="36.85546875" style="120" bestFit="1" customWidth="1"/>
    <col min="12" max="12" width="25.85546875" style="120" customWidth="1"/>
    <col min="13" max="16384" width="9.140625" style="120"/>
  </cols>
  <sheetData>
    <row r="1" spans="1:10" ht="19.5" customHeight="1" thickBot="1" x14ac:dyDescent="0.25">
      <c r="B1" s="938" t="s">
        <v>242</v>
      </c>
      <c r="C1" s="938"/>
      <c r="D1" s="938"/>
      <c r="E1" s="938"/>
    </row>
    <row r="2" spans="1:10" ht="13.5" customHeight="1" thickBot="1" x14ac:dyDescent="0.25">
      <c r="B2" s="939" t="s">
        <v>259</v>
      </c>
      <c r="C2" s="940"/>
      <c r="D2" s="940"/>
      <c r="E2" s="941"/>
      <c r="G2" s="945" t="s">
        <v>164</v>
      </c>
      <c r="H2" s="945"/>
      <c r="I2" s="945"/>
      <c r="J2" s="945"/>
    </row>
    <row r="3" spans="1:10" ht="13.5" thickBot="1" x14ac:dyDescent="0.25">
      <c r="B3" s="942"/>
      <c r="C3" s="943"/>
      <c r="D3" s="943"/>
      <c r="E3" s="944"/>
    </row>
    <row r="4" spans="1:10" ht="13.5" thickBot="1" x14ac:dyDescent="0.25">
      <c r="B4" s="126" t="s">
        <v>165</v>
      </c>
      <c r="C4" s="121">
        <v>12</v>
      </c>
      <c r="D4" s="120" t="s">
        <v>166</v>
      </c>
      <c r="E4" s="303">
        <f>C4*365</f>
        <v>4380</v>
      </c>
      <c r="F4" s="294"/>
      <c r="G4" s="209" t="s">
        <v>167</v>
      </c>
      <c r="H4" s="946" t="s">
        <v>168</v>
      </c>
      <c r="I4" s="946"/>
      <c r="J4" s="304"/>
    </row>
    <row r="5" spans="1:10" ht="13.5" thickBot="1" x14ac:dyDescent="0.25">
      <c r="B5" s="324"/>
      <c r="C5" s="325"/>
      <c r="D5" s="325" t="s">
        <v>169</v>
      </c>
      <c r="E5" s="326" t="s">
        <v>170</v>
      </c>
      <c r="F5" s="294"/>
      <c r="G5" s="126"/>
      <c r="H5" s="121" t="s">
        <v>156</v>
      </c>
      <c r="I5" s="305" t="s">
        <v>157</v>
      </c>
      <c r="J5" s="306"/>
    </row>
    <row r="6" spans="1:10" ht="15" customHeight="1" x14ac:dyDescent="0.2">
      <c r="B6" s="126" t="s">
        <v>172</v>
      </c>
      <c r="D6" s="277">
        <v>1.75</v>
      </c>
      <c r="E6" s="135">
        <v>118542</v>
      </c>
      <c r="G6" s="126" t="s">
        <v>171</v>
      </c>
      <c r="H6" s="121">
        <v>15</v>
      </c>
      <c r="I6" s="121">
        <f>H6*8</f>
        <v>120</v>
      </c>
      <c r="J6" s="306"/>
    </row>
    <row r="7" spans="1:10" ht="15" customHeight="1" x14ac:dyDescent="0.2">
      <c r="A7" s="308"/>
      <c r="B7" s="126" t="s">
        <v>177</v>
      </c>
      <c r="D7" s="218">
        <v>5.8</v>
      </c>
      <c r="E7" s="135">
        <v>400300</v>
      </c>
      <c r="G7" s="126" t="s">
        <v>173</v>
      </c>
      <c r="H7" s="121">
        <v>8</v>
      </c>
      <c r="I7" s="121">
        <f>H7*8</f>
        <v>64</v>
      </c>
      <c r="J7" s="306"/>
    </row>
    <row r="8" spans="1:10" ht="15" customHeight="1" x14ac:dyDescent="0.2">
      <c r="A8" s="308"/>
      <c r="B8" s="137" t="s">
        <v>220</v>
      </c>
      <c r="C8" s="273"/>
      <c r="D8" s="278">
        <v>28.51</v>
      </c>
      <c r="E8" s="275">
        <v>1165783</v>
      </c>
      <c r="G8" s="126" t="s">
        <v>174</v>
      </c>
      <c r="H8" s="121">
        <v>11</v>
      </c>
      <c r="I8" s="121">
        <f>H8*8</f>
        <v>88</v>
      </c>
      <c r="J8" s="136" t="s">
        <v>493</v>
      </c>
    </row>
    <row r="9" spans="1:10" ht="15" customHeight="1" x14ac:dyDescent="0.2">
      <c r="A9" s="308"/>
      <c r="B9" s="153" t="s">
        <v>187</v>
      </c>
      <c r="C9" s="154"/>
      <c r="D9" s="193">
        <f>SUM(D6:D8)</f>
        <v>36.06</v>
      </c>
      <c r="E9" s="155">
        <f>SUM(E6:E8)</f>
        <v>1684625</v>
      </c>
      <c r="G9" s="137" t="s">
        <v>176</v>
      </c>
      <c r="H9" s="138">
        <v>5</v>
      </c>
      <c r="I9" s="138">
        <f>H9*8</f>
        <v>40</v>
      </c>
      <c r="J9" s="309"/>
    </row>
    <row r="10" spans="1:10" ht="15" customHeight="1" x14ac:dyDescent="0.2">
      <c r="A10" s="308"/>
      <c r="B10" s="122" t="s">
        <v>229</v>
      </c>
      <c r="E10" s="127"/>
      <c r="F10" s="121"/>
      <c r="G10" s="126"/>
      <c r="H10" s="141" t="s">
        <v>161</v>
      </c>
      <c r="I10" s="121">
        <f>SUM(I6:I9)</f>
        <v>312</v>
      </c>
      <c r="J10" s="310"/>
    </row>
    <row r="11" spans="1:10" ht="15" customHeight="1" thickBot="1" x14ac:dyDescent="0.25">
      <c r="A11" s="121"/>
      <c r="B11" s="126" t="s">
        <v>192</v>
      </c>
      <c r="C11" s="156">
        <f>I38</f>
        <v>0.25390000000000001</v>
      </c>
      <c r="E11" s="135">
        <f>C11*E9</f>
        <v>427726.28750000003</v>
      </c>
      <c r="F11" s="121"/>
      <c r="G11" s="144"/>
      <c r="H11" s="145" t="s">
        <v>178</v>
      </c>
      <c r="I11" s="280">
        <f>I10/(52*40)</f>
        <v>0.15</v>
      </c>
      <c r="J11" s="292"/>
    </row>
    <row r="12" spans="1:10" ht="15" customHeight="1" x14ac:dyDescent="0.2">
      <c r="B12" s="126" t="s">
        <v>483</v>
      </c>
      <c r="C12" s="156">
        <f>I47</f>
        <v>2.7812E-2</v>
      </c>
      <c r="E12" s="135">
        <f>(E9+E11)*C12</f>
        <v>58748.714007950002</v>
      </c>
      <c r="F12" s="121"/>
      <c r="H12" s="224"/>
      <c r="I12" s="282"/>
      <c r="J12" s="283"/>
    </row>
    <row r="13" spans="1:10" ht="15" customHeight="1" x14ac:dyDescent="0.2">
      <c r="B13" s="153" t="s">
        <v>194</v>
      </c>
      <c r="C13" s="154"/>
      <c r="D13" s="157"/>
      <c r="E13" s="155">
        <f>E11+E9</f>
        <v>2112351.2875000001</v>
      </c>
      <c r="F13" s="121"/>
    </row>
    <row r="14" spans="1:10" ht="15" customHeight="1" x14ac:dyDescent="0.2">
      <c r="B14" s="126" t="s">
        <v>216</v>
      </c>
      <c r="D14" s="158">
        <f>I40</f>
        <v>30.57</v>
      </c>
      <c r="E14" s="159">
        <f>D14*E4</f>
        <v>133896.6</v>
      </c>
      <c r="F14" s="121"/>
    </row>
    <row r="15" spans="1:10" ht="15" customHeight="1" thickBot="1" x14ac:dyDescent="0.25">
      <c r="B15" s="126" t="s">
        <v>217</v>
      </c>
      <c r="D15" s="158">
        <f>I41</f>
        <v>25</v>
      </c>
      <c r="E15" s="159">
        <f>D15*E4</f>
        <v>109500</v>
      </c>
      <c r="F15" s="121"/>
    </row>
    <row r="16" spans="1:10" ht="15" customHeight="1" thickBot="1" x14ac:dyDescent="0.35">
      <c r="B16" s="153" t="s">
        <v>198</v>
      </c>
      <c r="C16" s="154"/>
      <c r="D16" s="154"/>
      <c r="E16" s="155">
        <f>SUM(E13:E15)</f>
        <v>2355747.8875000002</v>
      </c>
      <c r="F16" s="121"/>
      <c r="G16" s="923" t="s">
        <v>179</v>
      </c>
      <c r="H16" s="924"/>
      <c r="I16" s="924"/>
      <c r="J16" s="925"/>
    </row>
    <row r="17" spans="2:10" ht="15" customHeight="1" x14ac:dyDescent="0.2">
      <c r="B17" s="126" t="s">
        <v>199</v>
      </c>
      <c r="C17" s="156">
        <f>I45</f>
        <v>0.12</v>
      </c>
      <c r="E17" s="135">
        <f>C17*E16</f>
        <v>282689.74650000001</v>
      </c>
      <c r="F17" s="121"/>
      <c r="G17" s="932"/>
      <c r="H17" s="933"/>
      <c r="I17" s="933"/>
      <c r="J17" s="934"/>
    </row>
    <row r="18" spans="2:10" ht="15" customHeight="1" thickBot="1" x14ac:dyDescent="0.25">
      <c r="B18" s="313" t="s">
        <v>214</v>
      </c>
      <c r="C18" s="235">
        <f>I47</f>
        <v>2.7812E-2</v>
      </c>
      <c r="D18" s="161"/>
      <c r="E18" s="162">
        <f>(E13+E14+E15)*C18</f>
        <v>65518.060247150002</v>
      </c>
      <c r="G18" s="122" t="s">
        <v>172</v>
      </c>
      <c r="H18" s="120" t="s">
        <v>226</v>
      </c>
      <c r="I18" s="134"/>
      <c r="J18" s="127"/>
    </row>
    <row r="19" spans="2:10" ht="15" customHeight="1" thickTop="1" x14ac:dyDescent="0.2">
      <c r="B19" s="122" t="s">
        <v>485</v>
      </c>
      <c r="C19" s="156"/>
      <c r="E19" s="284">
        <f>SUM(E16:E18)</f>
        <v>2703955.6942471499</v>
      </c>
      <c r="G19" s="126" t="s">
        <v>180</v>
      </c>
      <c r="H19" s="192">
        <v>1</v>
      </c>
      <c r="I19" s="134"/>
      <c r="J19" s="127" t="s">
        <v>181</v>
      </c>
    </row>
    <row r="20" spans="2:10" ht="15" customHeight="1" x14ac:dyDescent="0.2">
      <c r="B20" s="126"/>
      <c r="E20" s="314" t="s">
        <v>201</v>
      </c>
      <c r="G20" s="126" t="s">
        <v>175</v>
      </c>
      <c r="H20" s="192">
        <v>0.75</v>
      </c>
      <c r="I20" s="134"/>
      <c r="J20" s="127" t="s">
        <v>181</v>
      </c>
    </row>
    <row r="21" spans="2:10" ht="15" customHeight="1" thickBot="1" x14ac:dyDescent="0.25">
      <c r="B21" s="126"/>
      <c r="C21" s="291" t="s">
        <v>225</v>
      </c>
      <c r="D21" s="244"/>
      <c r="E21" s="315">
        <f>E19/E4</f>
        <v>617.34148270482876</v>
      </c>
      <c r="G21" s="126"/>
      <c r="H21" s="192"/>
      <c r="I21" s="134"/>
      <c r="J21" s="127"/>
    </row>
    <row r="22" spans="2:10" ht="13.5" thickBot="1" x14ac:dyDescent="0.25">
      <c r="B22" s="170" t="s">
        <v>232</v>
      </c>
      <c r="C22" s="252">
        <v>0.8</v>
      </c>
      <c r="D22" s="316"/>
      <c r="E22" s="317">
        <f>E21/C22</f>
        <v>771.67685338103593</v>
      </c>
      <c r="G22" s="126"/>
      <c r="H22" s="192"/>
      <c r="I22" s="134"/>
      <c r="J22" s="127"/>
    </row>
    <row r="23" spans="2:10" ht="13.5" thickBot="1" x14ac:dyDescent="0.25">
      <c r="B23" s="230" t="s">
        <v>244</v>
      </c>
      <c r="C23" s="236">
        <v>0.9</v>
      </c>
      <c r="D23" s="319"/>
      <c r="E23" s="232">
        <f>E21/C23</f>
        <v>685.93498078314303</v>
      </c>
      <c r="G23" s="122" t="s">
        <v>177</v>
      </c>
      <c r="H23" s="192"/>
      <c r="I23" s="134"/>
      <c r="J23" s="127"/>
    </row>
    <row r="24" spans="2:10" x14ac:dyDescent="0.2">
      <c r="B24" s="327"/>
      <c r="D24" s="328"/>
      <c r="E24" s="329"/>
      <c r="G24" s="126" t="s">
        <v>184</v>
      </c>
      <c r="H24" s="192">
        <v>1</v>
      </c>
      <c r="I24" s="134"/>
      <c r="J24" s="127" t="s">
        <v>181</v>
      </c>
    </row>
    <row r="25" spans="2:10" x14ac:dyDescent="0.2">
      <c r="D25" s="328"/>
      <c r="E25" s="321"/>
      <c r="G25" s="126" t="s">
        <v>248</v>
      </c>
      <c r="H25" s="192">
        <v>4.2</v>
      </c>
      <c r="I25" s="134"/>
      <c r="J25" s="127" t="s">
        <v>181</v>
      </c>
    </row>
    <row r="26" spans="2:10" x14ac:dyDescent="0.2">
      <c r="D26" s="328"/>
      <c r="E26" s="321"/>
      <c r="G26" s="126" t="s">
        <v>186</v>
      </c>
      <c r="H26" s="192">
        <v>0.6</v>
      </c>
      <c r="I26" s="134"/>
      <c r="J26" s="127" t="s">
        <v>181</v>
      </c>
    </row>
    <row r="27" spans="2:10" ht="15" x14ac:dyDescent="0.25">
      <c r="G27" s="226"/>
      <c r="H27" s="816"/>
      <c r="I27" s="227"/>
      <c r="J27" s="228"/>
    </row>
    <row r="28" spans="2:10" ht="13.5" thickBot="1" x14ac:dyDescent="0.25">
      <c r="B28" s="938" t="s">
        <v>245</v>
      </c>
      <c r="C28" s="938"/>
      <c r="D28" s="938"/>
      <c r="E28" s="938"/>
      <c r="G28" s="122" t="s">
        <v>121</v>
      </c>
      <c r="H28" s="192"/>
      <c r="I28" s="134"/>
      <c r="J28" s="127"/>
    </row>
    <row r="29" spans="2:10" x14ac:dyDescent="0.2">
      <c r="B29" s="939" t="s">
        <v>259</v>
      </c>
      <c r="C29" s="940"/>
      <c r="D29" s="940"/>
      <c r="E29" s="941"/>
      <c r="G29" s="126" t="s">
        <v>230</v>
      </c>
      <c r="H29" s="192">
        <v>0.75</v>
      </c>
      <c r="I29" s="134"/>
      <c r="J29" s="127" t="s">
        <v>231</v>
      </c>
    </row>
    <row r="30" spans="2:10" ht="13.5" thickBot="1" x14ac:dyDescent="0.25">
      <c r="B30" s="942"/>
      <c r="C30" s="943"/>
      <c r="D30" s="943"/>
      <c r="E30" s="944"/>
      <c r="G30" s="126" t="s">
        <v>195</v>
      </c>
      <c r="H30" s="192">
        <v>1</v>
      </c>
      <c r="I30" s="134"/>
      <c r="J30" s="127" t="s">
        <v>251</v>
      </c>
    </row>
    <row r="31" spans="2:10" ht="13.5" thickBot="1" x14ac:dyDescent="0.25">
      <c r="B31" s="126" t="s">
        <v>165</v>
      </c>
      <c r="C31" s="121">
        <v>12</v>
      </c>
      <c r="D31" s="120" t="s">
        <v>166</v>
      </c>
      <c r="E31" s="303">
        <f>C31*365</f>
        <v>4380</v>
      </c>
      <c r="G31" s="169" t="s">
        <v>202</v>
      </c>
      <c r="H31" s="192">
        <v>22.4</v>
      </c>
      <c r="I31" s="134"/>
      <c r="J31" s="127" t="s">
        <v>181</v>
      </c>
    </row>
    <row r="32" spans="2:10" ht="13.5" thickBot="1" x14ac:dyDescent="0.25">
      <c r="B32" s="324"/>
      <c r="C32" s="325"/>
      <c r="D32" s="325" t="s">
        <v>169</v>
      </c>
      <c r="E32" s="326" t="s">
        <v>170</v>
      </c>
      <c r="G32" s="173" t="s">
        <v>203</v>
      </c>
      <c r="H32" s="192">
        <v>1</v>
      </c>
      <c r="I32" s="134"/>
      <c r="J32" s="127" t="s">
        <v>181</v>
      </c>
    </row>
    <row r="33" spans="2:10" x14ac:dyDescent="0.2">
      <c r="B33" s="126" t="s">
        <v>172</v>
      </c>
      <c r="D33" s="277">
        <v>1.75</v>
      </c>
      <c r="E33" s="135">
        <v>118542</v>
      </c>
      <c r="G33" s="152" t="s">
        <v>472</v>
      </c>
      <c r="H33" s="192">
        <f>H31*I11</f>
        <v>3.36</v>
      </c>
      <c r="I33" s="134"/>
      <c r="J33" s="127" t="s">
        <v>181</v>
      </c>
    </row>
    <row r="34" spans="2:10" x14ac:dyDescent="0.2">
      <c r="B34" s="126" t="s">
        <v>177</v>
      </c>
      <c r="D34" s="218">
        <v>5.8</v>
      </c>
      <c r="E34" s="135">
        <v>400300</v>
      </c>
      <c r="G34" s="152"/>
      <c r="H34" s="192"/>
      <c r="I34" s="134"/>
      <c r="J34" s="127"/>
    </row>
    <row r="35" spans="2:10" x14ac:dyDescent="0.2">
      <c r="B35" s="137" t="s">
        <v>220</v>
      </c>
      <c r="C35" s="273"/>
      <c r="D35" s="278">
        <v>28.01</v>
      </c>
      <c r="E35" s="275">
        <v>1135536</v>
      </c>
      <c r="G35" s="126"/>
      <c r="H35" s="192"/>
      <c r="I35" s="134"/>
      <c r="J35" s="127"/>
    </row>
    <row r="36" spans="2:10" x14ac:dyDescent="0.2">
      <c r="B36" s="311" t="s">
        <v>187</v>
      </c>
      <c r="C36" s="312"/>
      <c r="D36" s="193">
        <f>SUM(D33:D35)</f>
        <v>35.56</v>
      </c>
      <c r="E36" s="155">
        <f>SUM(E33:E35)</f>
        <v>1654378</v>
      </c>
      <c r="F36" s="290"/>
      <c r="G36" s="126"/>
      <c r="I36" s="134"/>
      <c r="J36" s="127"/>
    </row>
    <row r="37" spans="2:10" x14ac:dyDescent="0.2">
      <c r="B37" s="122" t="s">
        <v>229</v>
      </c>
      <c r="E37" s="127"/>
      <c r="F37" s="163"/>
      <c r="G37" s="906" t="s">
        <v>206</v>
      </c>
      <c r="H37" s="907"/>
      <c r="I37" s="907"/>
      <c r="J37" s="908"/>
    </row>
    <row r="38" spans="2:10" x14ac:dyDescent="0.2">
      <c r="B38" s="126" t="s">
        <v>192</v>
      </c>
      <c r="C38" s="156">
        <f>I38</f>
        <v>0.25390000000000001</v>
      </c>
      <c r="E38" s="135">
        <f>C38*E36</f>
        <v>420046.57420000003</v>
      </c>
      <c r="F38" s="163"/>
      <c r="G38" s="126" t="s">
        <v>192</v>
      </c>
      <c r="I38" s="268">
        <v>0.25390000000000001</v>
      </c>
      <c r="J38" s="127" t="s">
        <v>207</v>
      </c>
    </row>
    <row r="39" spans="2:10" x14ac:dyDescent="0.2">
      <c r="B39" s="126" t="s">
        <v>483</v>
      </c>
      <c r="C39" s="156">
        <f>I47</f>
        <v>2.7812E-2</v>
      </c>
      <c r="E39" s="135">
        <f>(E36+E38)*C39</f>
        <v>57693.896257650405</v>
      </c>
      <c r="F39" s="158"/>
      <c r="G39" s="126"/>
      <c r="I39" s="156"/>
      <c r="J39" s="127"/>
    </row>
    <row r="40" spans="2:10" x14ac:dyDescent="0.2">
      <c r="B40" s="153" t="s">
        <v>194</v>
      </c>
      <c r="C40" s="154"/>
      <c r="D40" s="157"/>
      <c r="E40" s="155">
        <f>E38+E36</f>
        <v>2074424.5742000001</v>
      </c>
      <c r="G40" s="126" t="str">
        <f>'[21]Master Data'!C37</f>
        <v>Occupancy</v>
      </c>
      <c r="I40" s="244">
        <v>30.57</v>
      </c>
      <c r="J40" s="127" t="s">
        <v>208</v>
      </c>
    </row>
    <row r="41" spans="2:10" x14ac:dyDescent="0.2">
      <c r="B41" s="126" t="s">
        <v>216</v>
      </c>
      <c r="D41" s="158">
        <f>I40</f>
        <v>30.57</v>
      </c>
      <c r="E41" s="159">
        <f>D41*E31</f>
        <v>133896.6</v>
      </c>
      <c r="G41" s="126" t="str">
        <f>'[21]Master Data'!C38</f>
        <v>Programmatic expenses</v>
      </c>
      <c r="I41" s="244">
        <v>25</v>
      </c>
      <c r="J41" s="127" t="s">
        <v>209</v>
      </c>
    </row>
    <row r="42" spans="2:10" x14ac:dyDescent="0.2">
      <c r="B42" s="126" t="s">
        <v>217</v>
      </c>
      <c r="D42" s="158">
        <f>I41</f>
        <v>25</v>
      </c>
      <c r="E42" s="159">
        <f>D42*E31</f>
        <v>109500</v>
      </c>
      <c r="G42" s="126" t="s">
        <v>210</v>
      </c>
      <c r="I42" s="244">
        <f>'[21]Master Data'!E39</f>
        <v>0</v>
      </c>
      <c r="J42" s="127" t="s">
        <v>211</v>
      </c>
    </row>
    <row r="43" spans="2:10" x14ac:dyDescent="0.2">
      <c r="B43" s="153" t="s">
        <v>198</v>
      </c>
      <c r="C43" s="154"/>
      <c r="D43" s="154"/>
      <c r="E43" s="155">
        <f>SUM(E40:E42)</f>
        <v>2317821.1742000002</v>
      </c>
      <c r="G43" s="179" t="s">
        <v>198</v>
      </c>
      <c r="H43" s="180"/>
      <c r="I43" s="181">
        <f>SUM(I40:I41)</f>
        <v>55.57</v>
      </c>
      <c r="J43" s="182"/>
    </row>
    <row r="44" spans="2:10" x14ac:dyDescent="0.2">
      <c r="B44" s="126" t="s">
        <v>199</v>
      </c>
      <c r="C44" s="156">
        <f>I45</f>
        <v>0.12</v>
      </c>
      <c r="E44" s="135">
        <f>C44*E43</f>
        <v>278138.54090399999</v>
      </c>
      <c r="G44" s="126"/>
      <c r="J44" s="127"/>
    </row>
    <row r="45" spans="2:10" ht="13.5" thickBot="1" x14ac:dyDescent="0.25">
      <c r="B45" s="313" t="s">
        <v>214</v>
      </c>
      <c r="C45" s="235">
        <f>I47</f>
        <v>2.7812E-2</v>
      </c>
      <c r="D45" s="161"/>
      <c r="E45" s="162">
        <f>(E40+E41+E42)*C45</f>
        <v>64463.242496850406</v>
      </c>
      <c r="G45" s="126" t="s">
        <v>199</v>
      </c>
      <c r="I45" s="268">
        <v>0.12</v>
      </c>
      <c r="J45" s="127" t="s">
        <v>213</v>
      </c>
    </row>
    <row r="46" spans="2:10" ht="13.5" thickTop="1" x14ac:dyDescent="0.2">
      <c r="B46" s="122" t="s">
        <v>485</v>
      </c>
      <c r="C46" s="156"/>
      <c r="E46" s="284">
        <f>SUM(E43:E45)</f>
        <v>2660422.9576008506</v>
      </c>
      <c r="G46" s="126"/>
      <c r="J46" s="127"/>
    </row>
    <row r="47" spans="2:10" ht="13.5" thickBot="1" x14ac:dyDescent="0.25">
      <c r="B47" s="126"/>
      <c r="E47" s="314" t="s">
        <v>201</v>
      </c>
      <c r="G47" s="144" t="s">
        <v>214</v>
      </c>
      <c r="H47" s="183"/>
      <c r="I47" s="270">
        <v>2.7812E-2</v>
      </c>
      <c r="J47" s="185" t="s">
        <v>215</v>
      </c>
    </row>
    <row r="48" spans="2:10" ht="13.35" customHeight="1" thickBot="1" x14ac:dyDescent="0.25">
      <c r="B48" s="126"/>
      <c r="C48" s="291" t="s">
        <v>225</v>
      </c>
      <c r="D48" s="244"/>
      <c r="E48" s="315">
        <f>E46/E31</f>
        <v>607.40250173535401</v>
      </c>
    </row>
    <row r="49" spans="1:5" ht="15" customHeight="1" thickBot="1" x14ac:dyDescent="0.25">
      <c r="A49" s="244"/>
      <c r="B49" s="272" t="s">
        <v>234</v>
      </c>
      <c r="C49" s="252">
        <v>0.8</v>
      </c>
      <c r="D49" s="316"/>
      <c r="E49" s="317">
        <f>E48/C49</f>
        <v>759.25312716919245</v>
      </c>
    </row>
    <row r="50" spans="1:5" ht="13.5" thickBot="1" x14ac:dyDescent="0.25">
      <c r="A50" s="158"/>
      <c r="B50" s="230" t="s">
        <v>246</v>
      </c>
      <c r="C50" s="236">
        <v>0.9</v>
      </c>
      <c r="D50" s="319"/>
      <c r="E50" s="232">
        <f>E48/C50</f>
        <v>674.89166859483782</v>
      </c>
    </row>
    <row r="51" spans="1:5" x14ac:dyDescent="0.2">
      <c r="A51" s="158"/>
      <c r="D51" s="328"/>
      <c r="E51" s="321"/>
    </row>
    <row r="52" spans="1:5" x14ac:dyDescent="0.2">
      <c r="A52" s="158"/>
      <c r="B52" s="176" t="s">
        <v>459</v>
      </c>
    </row>
    <row r="53" spans="1:5" x14ac:dyDescent="0.2">
      <c r="E53" s="321"/>
    </row>
    <row r="54" spans="1:5" ht="12.75" customHeight="1" x14ac:dyDescent="0.2"/>
    <row r="55" spans="1:5" x14ac:dyDescent="0.2">
      <c r="A55" s="308"/>
    </row>
    <row r="56" spans="1:5" x14ac:dyDescent="0.2">
      <c r="A56" s="121"/>
    </row>
    <row r="59" spans="1:5" ht="13.5" customHeight="1" x14ac:dyDescent="0.2"/>
    <row r="79" spans="6:6" x14ac:dyDescent="0.2">
      <c r="F79" s="163" t="e">
        <f>(E49-E53)/E53</f>
        <v>#DIV/0!</v>
      </c>
    </row>
    <row r="80" spans="6:6" x14ac:dyDescent="0.2">
      <c r="F80" s="163" t="e">
        <f>(E50-E53)/E53</f>
        <v>#DIV/0!</v>
      </c>
    </row>
    <row r="83" spans="1:1" ht="13.35" customHeight="1" x14ac:dyDescent="0.2">
      <c r="A83" s="158"/>
    </row>
    <row r="84" spans="1:1" ht="15" customHeight="1" x14ac:dyDescent="0.2">
      <c r="A84" s="244"/>
    </row>
    <row r="85" spans="1:1" x14ac:dyDescent="0.2">
      <c r="A85" s="158"/>
    </row>
    <row r="86" spans="1:1" x14ac:dyDescent="0.2">
      <c r="A86" s="158"/>
    </row>
    <row r="87" spans="1:1" x14ac:dyDescent="0.2">
      <c r="A87" s="158"/>
    </row>
    <row r="89" spans="1:1" ht="12.75" customHeight="1" x14ac:dyDescent="0.2">
      <c r="A89" s="290"/>
    </row>
    <row r="90" spans="1:1" x14ac:dyDescent="0.2">
      <c r="A90" s="308"/>
    </row>
    <row r="91" spans="1:1" x14ac:dyDescent="0.2">
      <c r="A91" s="121"/>
    </row>
    <row r="115" spans="1:1" x14ac:dyDescent="0.2">
      <c r="A115" s="244"/>
    </row>
    <row r="116" spans="1:1" x14ac:dyDescent="0.2">
      <c r="A116" s="158"/>
    </row>
    <row r="117" spans="1:1" x14ac:dyDescent="0.2">
      <c r="A117" s="158"/>
    </row>
    <row r="118" spans="1:1" x14ac:dyDescent="0.2">
      <c r="A118" s="158"/>
    </row>
  </sheetData>
  <mergeCells count="9">
    <mergeCell ref="B28:E28"/>
    <mergeCell ref="B29:E30"/>
    <mergeCell ref="G37:J37"/>
    <mergeCell ref="B1:E1"/>
    <mergeCell ref="B2:E3"/>
    <mergeCell ref="G2:J2"/>
    <mergeCell ref="H4:I4"/>
    <mergeCell ref="G16:J16"/>
    <mergeCell ref="G17:J17"/>
  </mergeCells>
  <pageMargins left="0.7" right="0.7" top="0.75" bottom="0.75" header="0.3" footer="0.3"/>
  <pageSetup scale="78" fitToHeight="0" orientation="portrait" r:id="rId1"/>
  <headerFooter>
    <oddFooter>&amp;R2016-04-12
&amp;A
Caring Together rate review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</vt:i4>
      </vt:variant>
    </vt:vector>
  </HeadingPairs>
  <TitlesOfParts>
    <vt:vector size="30" baseType="lpstr">
      <vt:lpstr>M2021 BLS SALARY CHART (53_PCT)</vt:lpstr>
      <vt:lpstr>Community Treatment Residence</vt:lpstr>
      <vt:lpstr>Specialty Treatment Residence</vt:lpstr>
      <vt:lpstr>Specialty TR -CSEC</vt:lpstr>
      <vt:lpstr>Intensive Treatment Residence</vt:lpstr>
      <vt:lpstr>Emergency Residence</vt:lpstr>
      <vt:lpstr>Intensive Emergency Residence </vt:lpstr>
      <vt:lpstr>Int Tment Res Emer Intake addon</vt:lpstr>
      <vt:lpstr> Medically Complex Residence</vt:lpstr>
      <vt:lpstr>MedCmplx &amp; Behavioral Residence</vt:lpstr>
      <vt:lpstr>Youth&amp;YA Group Residence</vt:lpstr>
      <vt:lpstr>Youth&amp;YA Supp.Living Community </vt:lpstr>
      <vt:lpstr>Young Adult Supported Living</vt:lpstr>
      <vt:lpstr>Young Parent Residence</vt:lpstr>
      <vt:lpstr>Cong Care Add on Rates </vt:lpstr>
      <vt:lpstr>YouthRes  (FY24)</vt:lpstr>
      <vt:lpstr>TAYYA (FY24)</vt:lpstr>
      <vt:lpstr>IRTP (draft) </vt:lpstr>
      <vt:lpstr>CIRT (draft)</vt:lpstr>
      <vt:lpstr>3064 Intensive Therapeutic Care</vt:lpstr>
      <vt:lpstr>3072 Therapeutic Grp Care 6 Bed</vt:lpstr>
      <vt:lpstr>3072Therapeutic Grp Care 9 Bed </vt:lpstr>
      <vt:lpstr>3072Therapeutic Grp Care12 Bed </vt:lpstr>
      <vt:lpstr>3064 Adult Therap Care (FY24)</vt:lpstr>
      <vt:lpstr>CAF FALL 2022</vt:lpstr>
      <vt:lpstr>'CIRT (draft)'!Print_Area</vt:lpstr>
      <vt:lpstr>'M2021 BLS SALARY CHART (53_PCT)'!Print_Area</vt:lpstr>
      <vt:lpstr>'TAYYA (FY24)'!Print_Area</vt:lpstr>
      <vt:lpstr>'YouthRes  (FY24)'!Print_Area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2023-03-08T17:06:06Z</dcterms:created>
  <dcterms:modified xsi:type="dcterms:W3CDTF">2023-04-27T18:58:47Z</dcterms:modified>
</cp:coreProperties>
</file>